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rin.bakker\Downloads\"/>
    </mc:Choice>
  </mc:AlternateContent>
  <xr:revisionPtr revIDLastSave="0" documentId="8_{6EBBD9DE-60F7-4446-B6DA-B81572B20B9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voer" sheetId="1" r:id="rId1"/>
    <sheet name="BRONNEN" sheetId="5" state="hidden" r:id="rId2"/>
    <sheet name="Tarieven" sheetId="2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1" l="1"/>
  <c r="C24" i="1"/>
  <c r="I32" i="1"/>
  <c r="I51" i="1"/>
  <c r="C33" i="1"/>
  <c r="H29" i="2"/>
  <c r="H30" i="2"/>
  <c r="B31" i="2"/>
  <c r="H31" i="2"/>
  <c r="H32" i="2"/>
  <c r="I59" i="1"/>
  <c r="I58" i="1"/>
  <c r="I55" i="1"/>
  <c r="C31" i="1"/>
  <c r="I24" i="1"/>
  <c r="I41" i="1"/>
  <c r="H3" i="2"/>
  <c r="B4" i="2"/>
  <c r="H4" i="2"/>
  <c r="B5" i="2"/>
  <c r="H5" i="2"/>
  <c r="B6" i="2"/>
  <c r="H6" i="2"/>
  <c r="C7" i="2"/>
  <c r="H7" i="2"/>
  <c r="H8" i="2"/>
  <c r="I43" i="1"/>
  <c r="H2" i="2"/>
  <c r="C18" i="2"/>
  <c r="H18" i="2"/>
  <c r="H17" i="2"/>
  <c r="H19" i="2"/>
  <c r="I44" i="1"/>
  <c r="H21" i="2"/>
  <c r="H23" i="2"/>
  <c r="H24" i="2"/>
  <c r="J25" i="2"/>
  <c r="H25" i="2"/>
  <c r="H27" i="2"/>
  <c r="I45" i="1"/>
  <c r="I47" i="1"/>
  <c r="I48" i="1"/>
  <c r="G40" i="2"/>
  <c r="G41" i="2"/>
  <c r="C22" i="1"/>
  <c r="G50" i="2"/>
  <c r="G51" i="2"/>
  <c r="G52" i="2"/>
  <c r="C25" i="1"/>
  <c r="G56" i="2"/>
  <c r="G57" i="2"/>
  <c r="C23" i="1"/>
  <c r="C26" i="1"/>
  <c r="C27" i="1"/>
  <c r="C41" i="1"/>
  <c r="G2" i="2"/>
  <c r="G18" i="2"/>
  <c r="G17" i="2"/>
  <c r="G19" i="2"/>
  <c r="C44" i="1"/>
  <c r="G21" i="2"/>
  <c r="G23" i="2"/>
  <c r="G24" i="2"/>
  <c r="I25" i="2"/>
  <c r="G25" i="2"/>
  <c r="G27" i="2"/>
  <c r="C45" i="1"/>
  <c r="G3" i="2"/>
  <c r="G4" i="2"/>
  <c r="G5" i="2"/>
  <c r="G6" i="2"/>
  <c r="G7" i="2"/>
  <c r="G8" i="2"/>
  <c r="C43" i="1"/>
  <c r="C47" i="1"/>
  <c r="F47" i="1"/>
  <c r="F46" i="1"/>
  <c r="C48" i="1"/>
  <c r="G10" i="2"/>
  <c r="H13" i="2"/>
  <c r="H14" i="2"/>
  <c r="E10" i="2"/>
  <c r="G60" i="2"/>
  <c r="I54" i="1"/>
  <c r="E57" i="2"/>
  <c r="C50" i="1"/>
  <c r="C61" i="1"/>
  <c r="C71" i="1"/>
  <c r="H10" i="2"/>
  <c r="I50" i="1"/>
  <c r="G58" i="1"/>
  <c r="I61" i="1"/>
  <c r="I62" i="1"/>
  <c r="I64" i="1"/>
  <c r="I71" i="1"/>
  <c r="C72" i="1"/>
  <c r="I72" i="1"/>
  <c r="I63" i="1"/>
  <c r="I66" i="1"/>
  <c r="C51" i="1"/>
  <c r="C63" i="1"/>
  <c r="C66" i="1"/>
  <c r="I70" i="1"/>
  <c r="C70" i="1"/>
  <c r="D5" i="2"/>
  <c r="D4" i="2"/>
  <c r="D3" i="2"/>
  <c r="F51" i="1"/>
  <c r="I56" i="1"/>
  <c r="I52" i="1"/>
  <c r="C52" i="1"/>
  <c r="I68" i="1"/>
  <c r="C68" i="1"/>
  <c r="H74" i="1"/>
  <c r="C74" i="1"/>
  <c r="F61" i="1"/>
  <c r="F44" i="1"/>
  <c r="F45" i="1"/>
  <c r="F43" i="1"/>
  <c r="F41" i="1"/>
</calcChain>
</file>

<file path=xl/sharedStrings.xml><?xml version="1.0" encoding="utf-8"?>
<sst xmlns="http://schemas.openxmlformats.org/spreadsheetml/2006/main" count="135" uniqueCount="98">
  <si>
    <t/>
  </si>
  <si>
    <t>Datum:</t>
  </si>
  <si>
    <t>Einde termijn:</t>
  </si>
  <si>
    <t>Start termijn:</t>
  </si>
  <si>
    <t>Beoordeeld door:</t>
  </si>
  <si>
    <t>Klantcode:</t>
  </si>
  <si>
    <t>Voorbereid door:</t>
  </si>
  <si>
    <t>Naam klant:</t>
  </si>
  <si>
    <t>Details</t>
  </si>
  <si>
    <t>Copyright</t>
  </si>
  <si>
    <t>Tarieven inkomstenbelasting - box 1</t>
  </si>
  <si>
    <t>Tarieven inkomstenbelasting - box 2</t>
  </si>
  <si>
    <t>Tarieven vennootschapsbelasting</t>
  </si>
  <si>
    <t>Salaris dga</t>
  </si>
  <si>
    <t>Eigenwoning</t>
  </si>
  <si>
    <t>Overige</t>
  </si>
  <si>
    <t>Winst na salaris</t>
  </si>
  <si>
    <t>Jaarlijks dividend</t>
  </si>
  <si>
    <t>Uitstel dividend in jaren</t>
  </si>
  <si>
    <t>Algemene heffingskorting</t>
  </si>
  <si>
    <t>Winst voor beloning dga</t>
  </si>
  <si>
    <t>Bijtelling auto 13bis</t>
  </si>
  <si>
    <t>Maximum</t>
  </si>
  <si>
    <t>Afbouw</t>
  </si>
  <si>
    <t>Minimum</t>
  </si>
  <si>
    <t>Opbouw</t>
  </si>
  <si>
    <t>Belastingheffing eenmanzaak</t>
  </si>
  <si>
    <t>Belastingheffing BV + dga</t>
  </si>
  <si>
    <t>Belastbaar inkomen box 1</t>
  </si>
  <si>
    <t>Inkomstenbelasting</t>
  </si>
  <si>
    <t>Arbeidskorting</t>
  </si>
  <si>
    <t>Overige heffingskortingen</t>
  </si>
  <si>
    <t>Premie AOV</t>
  </si>
  <si>
    <t>Premie lijfrente</t>
  </si>
  <si>
    <t>Leeftijd ondernemer</t>
  </si>
  <si>
    <t>Ondernemersaftrek</t>
  </si>
  <si>
    <t>Zelfstandigenaftrek</t>
  </si>
  <si>
    <t>Meewerkaftrek</t>
  </si>
  <si>
    <t>MKB-winstvrijstelling</t>
  </si>
  <si>
    <t>Gegevens eenmanszaak</t>
  </si>
  <si>
    <t>Overige gegevens</t>
  </si>
  <si>
    <t>Gegevens BV</t>
  </si>
  <si>
    <t>Latente inkomstenbelasting</t>
  </si>
  <si>
    <t>Winst BV</t>
  </si>
  <si>
    <t>Totale belastingdruk</t>
  </si>
  <si>
    <t>Latente ab-heffing</t>
  </si>
  <si>
    <t>EMZ</t>
  </si>
  <si>
    <t>BV/DGA</t>
  </si>
  <si>
    <t>Verschuldigde ab-heffing</t>
  </si>
  <si>
    <t>Tarief lijfrente</t>
  </si>
  <si>
    <t>Toekomstige belastingheffing</t>
  </si>
  <si>
    <t>Conclusie</t>
  </si>
  <si>
    <t>Jaren uitstel</t>
  </si>
  <si>
    <t>Latente IB</t>
  </si>
  <si>
    <t>Acute VPB</t>
  </si>
  <si>
    <t>Tarieven ZVW</t>
  </si>
  <si>
    <t>Acute IB/ZVW</t>
  </si>
  <si>
    <t>Loon/row 1</t>
  </si>
  <si>
    <t>Loon/row 2</t>
  </si>
  <si>
    <t>Belastbare winst</t>
  </si>
  <si>
    <t xml:space="preserve">Leeftijd aanvang </t>
  </si>
  <si>
    <t>Stakingslijfrente ex 3.129 Wet IB 2001</t>
  </si>
  <si>
    <t>AOW - 5 jaar / AO / Overlijden</t>
  </si>
  <si>
    <t>AOW -15 jaar / Direct ingaand</t>
  </si>
  <si>
    <t>Invoer berekening: Vul de groene velden in.</t>
  </si>
  <si>
    <t>Berekening en conclusie:</t>
  </si>
  <si>
    <t>Liquiditeitsvoordeel</t>
  </si>
  <si>
    <t>Subtotaal box 1</t>
  </si>
  <si>
    <t>Subtotaal box 2</t>
  </si>
  <si>
    <t>Subtotaal VPB</t>
  </si>
  <si>
    <t>Inkomstenbelasting box 1</t>
  </si>
  <si>
    <t>Bijdrage ZVW</t>
  </si>
  <si>
    <t xml:space="preserve">CONCLUSIE </t>
  </si>
  <si>
    <t>EENMANSZAAK IS VOORDELIGER</t>
  </si>
  <si>
    <t>BV IS VOORDELIGER</t>
  </si>
  <si>
    <t>Rekenmodel: BV ja / nee ?</t>
  </si>
  <si>
    <t>Overige / PGA</t>
  </si>
  <si>
    <t>Rekenrente contante waarde</t>
  </si>
  <si>
    <t>Starter</t>
  </si>
  <si>
    <t>Speur- en ontwikkeling</t>
  </si>
  <si>
    <t>Startersaftrek bij AO</t>
  </si>
  <si>
    <t>1e jaar</t>
  </si>
  <si>
    <t>2e jaar</t>
  </si>
  <si>
    <t>3e jaar</t>
  </si>
  <si>
    <t>Speur- en ontwikkelingsaftrek</t>
  </si>
  <si>
    <t>Ja</t>
  </si>
  <si>
    <t>Nee</t>
  </si>
  <si>
    <t>Extra kosten BV</t>
  </si>
  <si>
    <t>Voordeel</t>
  </si>
  <si>
    <t>Totaal belastingen en kosten</t>
  </si>
  <si>
    <t>.          -/-</t>
  </si>
  <si>
    <t>Correctie ogv 2.10 lid 2 Wet IB 2001</t>
  </si>
  <si>
    <t>Toevoegen aan FOR</t>
  </si>
  <si>
    <t>Bijtelling auto 3.20/woning 3.19</t>
  </si>
  <si>
    <t>Af: i.v.m. te weinig belasting</t>
  </si>
  <si>
    <t>selecteer</t>
  </si>
  <si>
    <r>
      <t xml:space="preserve">Toelichting: </t>
    </r>
    <r>
      <rPr>
        <sz val="11"/>
        <color rgb="FF000000"/>
        <rFont val="Calibri"/>
        <family val="2"/>
      </rPr>
      <t>Met dit rekenmodel bereken je het verschil in belastingheffing tussen een eenmanszaak (aandeel in VOF) en een BV.</t>
    </r>
  </si>
  <si>
    <r>
      <t xml:space="preserve">Eventuele tips: </t>
    </r>
    <r>
      <rPr>
        <sz val="11"/>
        <color rgb="FF000000"/>
        <rFont val="Calibri"/>
        <family val="2"/>
      </rPr>
      <t>Het rekenmodel gaat ervan uit dat u spaargeld inbrengt in de BV. Wilt u andere vermogensbestanddelen inbrengen dan moet u rekening houden met overdrachtskosten (BRV) en de mogelijkheid van een belaste waardegroei.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</si>
</sst>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(* #,##0_);_(* \(#,##0\);_(* &quot;-&quot;_);_(@_)"/>
    <numFmt numFmtId="165" formatCode="_(* #,##0.00_);_(* \(#,##0.00\);_(* &quot;-&quot;??_);_(@_)"/>
    <numFmt numFmtId="166" formatCode="_ &quot;€&quot;\ * #,##0_ ;_ &quot;€&quot;\ * \-#,##0_ ;_ &quot;€&quot;\ * &quot;-&quot;??_ ;_ @_ "/>
    <numFmt numFmtId="167" formatCode="0.000%"/>
    <numFmt numFmtId="168" formatCode="_ [$€-413]\ * #,##0_ ;_ [$€-413]\ * \-#,##0_ ;_ [$€-413]\ * &quot;-&quot;??_ ;_ @_ "/>
    <numFmt numFmtId="169" formatCode="_ * #,##0_ ;_ * \-#,##0_ ;_ * &quot;-&quot;??_ ;_ @_ "/>
    <numFmt numFmtId="170" formatCode="_ * #,##0.000_ ;_ * \-#,##0.000_ ;_ * &quot;-&quot;???_ ;_ @_ "/>
    <numFmt numFmtId="171" formatCode="[$-413]d/mmm/yy;@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6"/>
      <color theme="0"/>
      <name val="Calibri"/>
      <family val="2"/>
    </font>
    <font>
      <sz val="9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b/>
      <u/>
      <sz val="1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EF5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4CD58"/>
        <bgColor indexed="64"/>
      </patternFill>
    </fill>
    <fill>
      <patternFill patternType="solid">
        <fgColor rgb="FFC2DD8F"/>
        <bgColor indexed="64"/>
      </patternFill>
    </fill>
    <fill>
      <patternFill patternType="solid">
        <fgColor rgb="FFD5E8B1"/>
        <bgColor indexed="64"/>
      </patternFill>
    </fill>
    <fill>
      <patternFill patternType="solid">
        <fgColor rgb="FFA4CD58"/>
        <bgColor rgb="FFC6D9F0"/>
      </patternFill>
    </fill>
    <fill>
      <patternFill patternType="solid">
        <fgColor rgb="FFEA8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52932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7">
    <xf numFmtId="0" fontId="0" fillId="0" borderId="0" xfId="0"/>
    <xf numFmtId="166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164" fontId="0" fillId="0" borderId="0" xfId="0" applyNumberFormat="1"/>
    <xf numFmtId="164" fontId="0" fillId="0" borderId="0" xfId="1" applyNumberFormat="1" applyFont="1"/>
    <xf numFmtId="0" fontId="1" fillId="0" borderId="2" xfId="0" applyFont="1" applyBorder="1"/>
    <xf numFmtId="166" fontId="0" fillId="0" borderId="2" xfId="1" applyNumberFormat="1" applyFont="1" applyBorder="1"/>
    <xf numFmtId="0" fontId="0" fillId="0" borderId="2" xfId="0" applyBorder="1"/>
    <xf numFmtId="0" fontId="1" fillId="0" borderId="2" xfId="0" applyFont="1" applyBorder="1" applyAlignment="1">
      <alignment horizontal="right"/>
    </xf>
    <xf numFmtId="167" fontId="0" fillId="0" borderId="0" xfId="2" applyNumberFormat="1" applyFont="1" applyAlignment="1">
      <alignment horizontal="right"/>
    </xf>
    <xf numFmtId="167" fontId="0" fillId="0" borderId="0" xfId="2" applyNumberFormat="1" applyFont="1"/>
    <xf numFmtId="0" fontId="9" fillId="0" borderId="0" xfId="0" applyFont="1"/>
    <xf numFmtId="168" fontId="0" fillId="0" borderId="0" xfId="2" applyNumberFormat="1" applyFont="1"/>
    <xf numFmtId="169" fontId="0" fillId="0" borderId="0" xfId="1" applyNumberFormat="1" applyFont="1"/>
    <xf numFmtId="0" fontId="0" fillId="0" borderId="1" xfId="0" applyBorder="1"/>
    <xf numFmtId="164" fontId="0" fillId="0" borderId="0" xfId="0" applyNumberFormat="1" applyAlignment="1">
      <alignment horizontal="center"/>
    </xf>
    <xf numFmtId="0" fontId="4" fillId="0" borderId="0" xfId="0" applyFont="1"/>
    <xf numFmtId="164" fontId="0" fillId="3" borderId="0" xfId="0" applyNumberFormat="1" applyFill="1"/>
    <xf numFmtId="164" fontId="0" fillId="0" borderId="3" xfId="0" applyNumberFormat="1" applyBorder="1" applyAlignment="1">
      <alignment horizontal="right"/>
    </xf>
    <xf numFmtId="41" fontId="0" fillId="0" borderId="0" xfId="0" applyNumberFormat="1"/>
    <xf numFmtId="0" fontId="2" fillId="0" borderId="0" xfId="0" applyFont="1"/>
    <xf numFmtId="164" fontId="2" fillId="0" borderId="4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164" fontId="0" fillId="0" borderId="0" xfId="0" applyNumberFormat="1" applyAlignment="1">
      <alignment horizontal="right"/>
    </xf>
    <xf numFmtId="44" fontId="0" fillId="0" borderId="0" xfId="1" applyFont="1" applyAlignment="1">
      <alignment horizontal="center"/>
    </xf>
    <xf numFmtId="164" fontId="0" fillId="0" borderId="4" xfId="0" applyNumberFormat="1" applyBorder="1"/>
    <xf numFmtId="164" fontId="0" fillId="0" borderId="4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11" fillId="0" borderId="0" xfId="0" applyFont="1"/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0" fillId="3" borderId="0" xfId="0" applyFill="1"/>
    <xf numFmtId="0" fontId="1" fillId="3" borderId="0" xfId="0" applyFont="1" applyFill="1"/>
    <xf numFmtId="165" fontId="0" fillId="3" borderId="0" xfId="0" applyNumberFormat="1" applyFill="1"/>
    <xf numFmtId="41" fontId="0" fillId="0" borderId="0" xfId="0" applyNumberFormat="1" applyProtection="1">
      <protection locked="0"/>
    </xf>
    <xf numFmtId="1" fontId="1" fillId="0" borderId="2" xfId="0" applyNumberFormat="1" applyFont="1" applyBorder="1"/>
    <xf numFmtId="0" fontId="1" fillId="4" borderId="0" xfId="0" applyFont="1" applyFill="1" applyAlignment="1">
      <alignment horizontal="center"/>
    </xf>
    <xf numFmtId="41" fontId="0" fillId="4" borderId="2" xfId="1" applyNumberFormat="1" applyFont="1" applyFill="1" applyBorder="1"/>
    <xf numFmtId="0" fontId="2" fillId="0" borderId="2" xfId="0" applyFont="1" applyBorder="1"/>
    <xf numFmtId="10" fontId="0" fillId="0" borderId="2" xfId="2" applyNumberFormat="1" applyFont="1" applyBorder="1"/>
    <xf numFmtId="41" fontId="0" fillId="4" borderId="0" xfId="0" applyNumberFormat="1" applyFill="1"/>
    <xf numFmtId="41" fontId="0" fillId="4" borderId="4" xfId="0" applyNumberFormat="1" applyFill="1" applyBorder="1"/>
    <xf numFmtId="41" fontId="0" fillId="4" borderId="4" xfId="1" applyNumberFormat="1" applyFont="1" applyFill="1" applyBorder="1"/>
    <xf numFmtId="41" fontId="0" fillId="4" borderId="0" xfId="1" applyNumberFormat="1" applyFont="1" applyFill="1"/>
    <xf numFmtId="41" fontId="0" fillId="4" borderId="5" xfId="0" applyNumberFormat="1" applyFill="1" applyBorder="1"/>
    <xf numFmtId="41" fontId="0" fillId="4" borderId="2" xfId="0" applyNumberFormat="1" applyFill="1" applyBorder="1"/>
    <xf numFmtId="170" fontId="0" fillId="0" borderId="0" xfId="0" applyNumberFormat="1"/>
    <xf numFmtId="41" fontId="8" fillId="0" borderId="0" xfId="0" applyNumberFormat="1" applyFont="1"/>
    <xf numFmtId="0" fontId="9" fillId="0" borderId="0" xfId="0" applyFont="1" applyFill="1"/>
    <xf numFmtId="0" fontId="8" fillId="0" borderId="0" xfId="0" applyFont="1" applyFill="1"/>
    <xf numFmtId="44" fontId="2" fillId="0" borderId="0" xfId="1" applyFont="1" applyAlignment="1">
      <alignment horizontal="left"/>
    </xf>
    <xf numFmtId="0" fontId="4" fillId="0" borderId="2" xfId="0" applyFont="1" applyBorder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Fill="1" applyBorder="1"/>
    <xf numFmtId="0" fontId="1" fillId="2" borderId="0" xfId="0" applyFont="1" applyFill="1" applyAlignment="1">
      <alignment horizontal="center"/>
    </xf>
    <xf numFmtId="41" fontId="0" fillId="2" borderId="2" xfId="1" applyNumberFormat="1" applyFont="1" applyFill="1" applyBorder="1"/>
    <xf numFmtId="41" fontId="0" fillId="2" borderId="0" xfId="0" applyNumberFormat="1" applyFill="1"/>
    <xf numFmtId="41" fontId="0" fillId="2" borderId="4" xfId="0" applyNumberFormat="1" applyFill="1" applyBorder="1"/>
    <xf numFmtId="41" fontId="0" fillId="2" borderId="4" xfId="1" applyNumberFormat="1" applyFont="1" applyFill="1" applyBorder="1"/>
    <xf numFmtId="41" fontId="0" fillId="2" borderId="2" xfId="0" applyNumberFormat="1" applyFill="1" applyBorder="1"/>
    <xf numFmtId="41" fontId="0" fillId="2" borderId="0" xfId="1" applyNumberFormat="1" applyFont="1" applyFill="1"/>
    <xf numFmtId="41" fontId="0" fillId="2" borderId="5" xfId="0" applyNumberFormat="1" applyFill="1" applyBorder="1"/>
    <xf numFmtId="0" fontId="2" fillId="0" borderId="2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Protection="1"/>
    <xf numFmtId="0" fontId="10" fillId="0" borderId="0" xfId="0" applyFont="1" applyFill="1"/>
    <xf numFmtId="0" fontId="8" fillId="0" borderId="0" xfId="0" applyFont="1"/>
    <xf numFmtId="9" fontId="8" fillId="0" borderId="2" xfId="2" applyFont="1" applyBorder="1"/>
    <xf numFmtId="41" fontId="8" fillId="2" borderId="0" xfId="0" applyNumberFormat="1" applyFont="1" applyFill="1"/>
    <xf numFmtId="0" fontId="15" fillId="7" borderId="9" xfId="0" applyFont="1" applyFill="1" applyBorder="1" applyAlignment="1">
      <alignment vertical="center"/>
    </xf>
    <xf numFmtId="0" fontId="16" fillId="7" borderId="11" xfId="0" applyFont="1" applyFill="1" applyBorder="1" applyAlignment="1"/>
    <xf numFmtId="0" fontId="15" fillId="7" borderId="13" xfId="0" applyFont="1" applyFill="1" applyBorder="1" applyAlignment="1">
      <alignment vertical="center"/>
    </xf>
    <xf numFmtId="0" fontId="16" fillId="7" borderId="10" xfId="0" applyFont="1" applyFill="1" applyBorder="1" applyAlignment="1"/>
    <xf numFmtId="0" fontId="15" fillId="7" borderId="14" xfId="0" applyFont="1" applyFill="1" applyBorder="1" applyAlignment="1">
      <alignment vertical="center"/>
    </xf>
    <xf numFmtId="171" fontId="16" fillId="3" borderId="15" xfId="0" applyNumberFormat="1" applyFont="1" applyFill="1" applyBorder="1" applyAlignment="1" applyProtection="1">
      <alignment horizontal="left"/>
      <protection locked="0"/>
    </xf>
    <xf numFmtId="0" fontId="16" fillId="7" borderId="15" xfId="0" applyFont="1" applyFill="1" applyBorder="1" applyAlignment="1"/>
    <xf numFmtId="0" fontId="17" fillId="7" borderId="6" xfId="0" applyFont="1" applyFill="1" applyBorder="1" applyAlignment="1"/>
    <xf numFmtId="0" fontId="0" fillId="7" borderId="7" xfId="0" applyFont="1" applyFill="1" applyBorder="1" applyAlignment="1"/>
    <xf numFmtId="0" fontId="19" fillId="8" borderId="13" xfId="0" applyFont="1" applyFill="1" applyBorder="1"/>
    <xf numFmtId="0" fontId="18" fillId="5" borderId="10" xfId="0" applyFont="1" applyFill="1" applyBorder="1" applyAlignment="1">
      <alignment horizontal="left" vertical="center"/>
    </xf>
    <xf numFmtId="0" fontId="0" fillId="5" borderId="10" xfId="0" applyFont="1" applyFill="1" applyBorder="1" applyAlignment="1"/>
    <xf numFmtId="0" fontId="0" fillId="5" borderId="12" xfId="0" applyFont="1" applyFill="1" applyBorder="1" applyAlignment="1"/>
    <xf numFmtId="0" fontId="0" fillId="3" borderId="0" xfId="0" applyFont="1" applyFill="1" applyAlignment="1"/>
    <xf numFmtId="0" fontId="0" fillId="0" borderId="0" xfId="0" applyFont="1" applyAlignment="1"/>
    <xf numFmtId="164" fontId="5" fillId="5" borderId="0" xfId="0" applyNumberFormat="1" applyFont="1" applyFill="1" applyProtection="1">
      <protection locked="0"/>
    </xf>
    <xf numFmtId="164" fontId="0" fillId="5" borderId="0" xfId="0" applyNumberFormat="1" applyFill="1" applyProtection="1">
      <protection locked="0"/>
    </xf>
    <xf numFmtId="164" fontId="0" fillId="5" borderId="0" xfId="0" applyNumberForma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10" fontId="0" fillId="5" borderId="0" xfId="2" applyNumberFormat="1" applyFont="1" applyFill="1" applyAlignment="1" applyProtection="1">
      <alignment horizontal="center"/>
      <protection locked="0"/>
    </xf>
    <xf numFmtId="9" fontId="0" fillId="5" borderId="4" xfId="2" applyFont="1" applyFill="1" applyBorder="1" applyAlignment="1" applyProtection="1">
      <alignment horizontal="right"/>
      <protection locked="0"/>
    </xf>
    <xf numFmtId="9" fontId="0" fillId="5" borderId="0" xfId="2" applyFont="1" applyFill="1" applyProtection="1">
      <protection locked="0"/>
    </xf>
    <xf numFmtId="164" fontId="0" fillId="5" borderId="0" xfId="0" applyNumberFormat="1" applyFill="1" applyAlignment="1" applyProtection="1">
      <alignment horizontal="right"/>
      <protection locked="0"/>
    </xf>
    <xf numFmtId="0" fontId="0" fillId="9" borderId="13" xfId="0" applyFont="1" applyFill="1" applyBorder="1" applyProtection="1">
      <protection hidden="1"/>
    </xf>
    <xf numFmtId="0" fontId="18" fillId="9" borderId="10" xfId="0" applyFont="1" applyFill="1" applyBorder="1" applyAlignment="1" applyProtection="1">
      <alignment vertical="center"/>
      <protection hidden="1"/>
    </xf>
    <xf numFmtId="0" fontId="0" fillId="9" borderId="10" xfId="0" applyFont="1" applyFill="1" applyBorder="1" applyAlignment="1" applyProtection="1">
      <protection hidden="1"/>
    </xf>
    <xf numFmtId="0" fontId="0" fillId="9" borderId="12" xfId="0" applyFont="1" applyFill="1" applyBorder="1" applyAlignment="1" applyProtection="1">
      <protection hidden="1"/>
    </xf>
    <xf numFmtId="166" fontId="4" fillId="9" borderId="6" xfId="1" applyNumberFormat="1" applyFont="1" applyFill="1" applyBorder="1"/>
    <xf numFmtId="166" fontId="4" fillId="9" borderId="5" xfId="1" applyNumberFormat="1" applyFont="1" applyFill="1" applyBorder="1"/>
    <xf numFmtId="166" fontId="4" fillId="9" borderId="7" xfId="1" applyNumberFormat="1" applyFont="1" applyFill="1" applyBorder="1"/>
    <xf numFmtId="0" fontId="4" fillId="9" borderId="6" xfId="0" applyFont="1" applyFill="1" applyBorder="1"/>
    <xf numFmtId="0" fontId="4" fillId="9" borderId="5" xfId="0" applyFont="1" applyFill="1" applyBorder="1"/>
    <xf numFmtId="166" fontId="4" fillId="9" borderId="7" xfId="1" applyNumberFormat="1" applyFont="1" applyFill="1" applyBorder="1" applyAlignment="1">
      <alignment horizontal="center"/>
    </xf>
    <xf numFmtId="0" fontId="4" fillId="9" borderId="6" xfId="0" applyFont="1" applyFill="1" applyBorder="1" applyAlignment="1">
      <alignment horizontal="left"/>
    </xf>
    <xf numFmtId="0" fontId="2" fillId="9" borderId="5" xfId="0" applyFont="1" applyFill="1" applyBorder="1"/>
    <xf numFmtId="0" fontId="2" fillId="9" borderId="7" xfId="0" applyFont="1" applyFill="1" applyBorder="1"/>
    <xf numFmtId="0" fontId="0" fillId="0" borderId="0" xfId="0" applyProtection="1">
      <protection hidden="1"/>
    </xf>
    <xf numFmtId="0" fontId="13" fillId="5" borderId="0" xfId="0" applyFont="1" applyFill="1" applyAlignment="1" applyProtection="1">
      <alignment horizontal="left"/>
      <protection hidden="1"/>
    </xf>
    <xf numFmtId="0" fontId="12" fillId="5" borderId="0" xfId="0" applyFont="1" applyFill="1" applyAlignment="1" applyProtection="1">
      <protection hidden="1"/>
    </xf>
    <xf numFmtId="0" fontId="14" fillId="6" borderId="8" xfId="0" applyFont="1" applyFill="1" applyBorder="1" applyAlignment="1" applyProtection="1">
      <alignment vertical="center"/>
      <protection hidden="1"/>
    </xf>
    <xf numFmtId="0" fontId="0" fillId="6" borderId="8" xfId="0" applyFont="1" applyFill="1" applyBorder="1" applyAlignment="1" applyProtection="1">
      <protection hidden="1"/>
    </xf>
    <xf numFmtId="0" fontId="18" fillId="7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/>
    </xf>
    <xf numFmtId="4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10" xfId="0" applyFont="1" applyFill="1" applyBorder="1" applyAlignment="1" applyProtection="1">
      <protection locked="0"/>
    </xf>
    <xf numFmtId="0" fontId="0" fillId="3" borderId="12" xfId="0" applyFont="1" applyFill="1" applyBorder="1" applyAlignment="1" applyProtection="1">
      <protection locked="0"/>
    </xf>
    <xf numFmtId="171" fontId="0" fillId="3" borderId="15" xfId="0" applyNumberFormat="1" applyFont="1" applyFill="1" applyBorder="1" applyAlignment="1" applyProtection="1">
      <alignment horizontal="left"/>
      <protection locked="0"/>
    </xf>
    <xf numFmtId="171" fontId="0" fillId="3" borderId="16" xfId="0" applyNumberFormat="1" applyFont="1" applyFill="1" applyBorder="1" applyAlignment="1" applyProtection="1">
      <alignment horizontal="left"/>
      <protection locked="0"/>
    </xf>
    <xf numFmtId="0" fontId="16" fillId="3" borderId="10" xfId="0" applyFont="1" applyFill="1" applyBorder="1" applyAlignment="1" applyProtection="1">
      <protection locked="0"/>
    </xf>
    <xf numFmtId="0" fontId="16" fillId="3" borderId="10" xfId="0" applyFont="1" applyFill="1" applyBorder="1" applyAlignment="1" applyProtection="1">
      <alignment horizontal="left"/>
      <protection locked="0"/>
    </xf>
  </cellXfs>
  <cellStyles count="5">
    <cellStyle name="Currency" xfId="1" builtinId="4"/>
    <cellStyle name="Followed Hyperlink" xfId="4" builtinId="9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8F00"/>
      <color rgb="FFA4CD58"/>
      <color rgb="FFDEF5C8"/>
      <color rgb="FFFFFFFF"/>
      <color rgb="FFF0F4DC"/>
      <color rgb="FF30F055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hyperlink" Target="https://www.wolterskluwer.nl/avanzer/avanzer-antwoord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495548" cy="671971"/>
    <xdr:pic>
      <xdr:nvPicPr>
        <xdr:cNvPr id="2" name="Afbeelding 1" descr="Afbeeldingsresultaat voor wolters kluw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48" cy="67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104775</xdr:colOff>
      <xdr:row>0</xdr:row>
      <xdr:rowOff>161925</xdr:rowOff>
    </xdr:from>
    <xdr:to>
      <xdr:col>8</xdr:col>
      <xdr:colOff>714375</xdr:colOff>
      <xdr:row>0</xdr:row>
      <xdr:rowOff>1143000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2C7A4C-BBB5-444B-B470-A1491A46A864}"/>
            </a:ext>
          </a:extLst>
        </xdr:cNvPr>
        <xdr:cNvSpPr txBox="1"/>
      </xdr:nvSpPr>
      <xdr:spPr>
        <a:xfrm>
          <a:off x="104775" y="161925"/>
          <a:ext cx="779145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100">
              <a:solidFill>
                <a:srgbClr val="E5202E"/>
              </a:solidFill>
            </a:rPr>
            <a:t>- Voorbeeld</a:t>
          </a:r>
          <a:r>
            <a:rPr lang="nl-NL" sz="1100" baseline="0">
              <a:solidFill>
                <a:srgbClr val="E5202E"/>
              </a:solidFill>
            </a:rPr>
            <a:t> - </a:t>
          </a:r>
        </a:p>
        <a:p>
          <a:pPr algn="ctr"/>
          <a:r>
            <a:rPr lang="nl-NL" sz="1100" baseline="0">
              <a:solidFill>
                <a:srgbClr val="E5202E"/>
              </a:solidFill>
            </a:rPr>
            <a:t>Dit rekenmodel dient uitsluitend als voorbeeld. Aan dit model kunnen geen rechten ontleend worden.</a:t>
          </a:r>
          <a:br>
            <a:rPr lang="nl-NL" sz="1100" baseline="0">
              <a:solidFill>
                <a:srgbClr val="E5202E"/>
              </a:solidFill>
            </a:rPr>
          </a:br>
          <a:r>
            <a:rPr lang="nl-NL" sz="1100" baseline="0">
              <a:solidFill>
                <a:srgbClr val="E5202E"/>
              </a:solidFill>
            </a:rPr>
            <a:t>Wil je werken met actuele modellen, conform de nieuwste fiscale wijzigingen? Probeer dan Avanzer Antwoord 4 weken gratis. Ga naar www.wolterskluwer.nl/avanzer/avanzer-antwoord</a:t>
          </a:r>
          <a:endParaRPr lang="nl-NL" sz="1100">
            <a:solidFill>
              <a:srgbClr val="E5202E"/>
            </a:solidFill>
          </a:endParaRPr>
        </a:p>
      </xdr:txBody>
    </xdr:sp>
    <xdr:clientData/>
  </xdr:twoCellAnchor>
  <xdr:twoCellAnchor editAs="oneCell">
    <xdr:from>
      <xdr:col>7</xdr:col>
      <xdr:colOff>152400</xdr:colOff>
      <xdr:row>1</xdr:row>
      <xdr:rowOff>104775</xdr:rowOff>
    </xdr:from>
    <xdr:to>
      <xdr:col>8</xdr:col>
      <xdr:colOff>713063</xdr:colOff>
      <xdr:row>2</xdr:row>
      <xdr:rowOff>439875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548B18-F89D-4D72-BCF0-6049FB1A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53225" y="1381125"/>
          <a:ext cx="1141688" cy="52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10</xdr:row>
      <xdr:rowOff>104775</xdr:rowOff>
    </xdr:from>
    <xdr:to>
      <xdr:col>0</xdr:col>
      <xdr:colOff>566325</xdr:colOff>
      <xdr:row>10</xdr:row>
      <xdr:rowOff>356775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7553BD-3C06-4736-9798-7F7DC4FA7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6766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12</xdr:row>
      <xdr:rowOff>76200</xdr:rowOff>
    </xdr:from>
    <xdr:to>
      <xdr:col>0</xdr:col>
      <xdr:colOff>556800</xdr:colOff>
      <xdr:row>12</xdr:row>
      <xdr:rowOff>328200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6A322C-9D2D-4B03-827D-A500BAB2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276725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14</xdr:row>
      <xdr:rowOff>47625</xdr:rowOff>
    </xdr:from>
    <xdr:to>
      <xdr:col>0</xdr:col>
      <xdr:colOff>547275</xdr:colOff>
      <xdr:row>14</xdr:row>
      <xdr:rowOff>299625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8994EF-E9FA-4DBD-9962-7E490BFA0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1244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36</xdr:row>
      <xdr:rowOff>85725</xdr:rowOff>
    </xdr:from>
    <xdr:to>
      <xdr:col>0</xdr:col>
      <xdr:colOff>594900</xdr:colOff>
      <xdr:row>36</xdr:row>
      <xdr:rowOff>337725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2A1F8CD-D8F8-43F1-8618-47A5CAEE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572625"/>
          <a:ext cx="252000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4"/>
  <sheetViews>
    <sheetView showGridLines="0" tabSelected="1" zoomScaleNormal="100" zoomScalePageLayoutView="130" workbookViewId="0">
      <selection activeCell="F2" sqref="F2"/>
    </sheetView>
  </sheetViews>
  <sheetFormatPr defaultColWidth="8.88671875" defaultRowHeight="14.4"/>
  <cols>
    <col min="1" max="1" width="15.6640625" customWidth="1"/>
    <col min="2" max="2" width="18.33203125" customWidth="1"/>
    <col min="3" max="3" width="16.33203125" customWidth="1"/>
    <col min="4" max="4" width="6.109375" customWidth="1"/>
    <col min="5" max="5" width="9.5546875" customWidth="1"/>
    <col min="6" max="6" width="16.6640625" customWidth="1"/>
    <col min="7" max="7" width="16.33203125" customWidth="1"/>
    <col min="8" max="8" width="8.6640625" customWidth="1"/>
    <col min="9" max="9" width="12.44140625" customWidth="1"/>
  </cols>
  <sheetData>
    <row r="1" spans="1:21" ht="100.5" customHeight="1">
      <c r="A1" s="112"/>
      <c r="B1" s="112"/>
      <c r="C1" s="112"/>
      <c r="D1" s="112"/>
      <c r="E1" s="112"/>
      <c r="F1" s="112"/>
      <c r="G1" s="112"/>
      <c r="H1" s="112"/>
      <c r="I1" s="112"/>
    </row>
    <row r="2" spans="1:21" ht="15" customHeight="1">
      <c r="A2" s="113"/>
      <c r="B2" s="113"/>
      <c r="C2" s="113"/>
      <c r="D2" s="113"/>
      <c r="E2" s="113"/>
      <c r="F2" s="113"/>
      <c r="G2" s="113"/>
      <c r="H2" s="114"/>
      <c r="I2" s="114"/>
    </row>
    <row r="3" spans="1:21" ht="37.5" customHeight="1">
      <c r="A3" s="113"/>
      <c r="B3" s="113"/>
      <c r="C3" s="113"/>
      <c r="D3" s="113"/>
      <c r="E3" s="113"/>
      <c r="F3" s="113"/>
      <c r="G3" s="113"/>
      <c r="H3" s="114"/>
      <c r="I3" s="114"/>
    </row>
    <row r="4" spans="1:21" ht="37.5" customHeight="1">
      <c r="A4" s="114" t="s">
        <v>75</v>
      </c>
      <c r="B4" s="113"/>
      <c r="C4" s="113"/>
      <c r="D4" s="113"/>
      <c r="E4" s="113"/>
      <c r="F4" s="113"/>
      <c r="G4" s="113"/>
      <c r="H4" s="114"/>
      <c r="I4" s="114"/>
    </row>
    <row r="5" spans="1:21" ht="15" customHeight="1">
      <c r="A5" s="113" t="s">
        <v>9</v>
      </c>
      <c r="B5" s="114"/>
      <c r="C5" s="114"/>
      <c r="D5" s="114"/>
      <c r="E5" s="114"/>
      <c r="F5" s="114"/>
      <c r="G5" s="114"/>
      <c r="H5" s="114"/>
      <c r="I5" s="114"/>
    </row>
    <row r="6" spans="1:21">
      <c r="A6" s="115" t="s">
        <v>8</v>
      </c>
      <c r="B6" s="116"/>
      <c r="C6" s="116"/>
      <c r="D6" s="116"/>
      <c r="E6" s="116"/>
      <c r="F6" s="116"/>
      <c r="G6" s="116"/>
      <c r="H6" s="116"/>
      <c r="I6" s="116"/>
    </row>
    <row r="7" spans="1:21">
      <c r="A7" s="76" t="s">
        <v>7</v>
      </c>
      <c r="B7" s="125" t="s">
        <v>0</v>
      </c>
      <c r="C7" s="125"/>
      <c r="D7" s="125"/>
      <c r="E7" s="125" t="s">
        <v>6</v>
      </c>
      <c r="F7" s="77" t="s">
        <v>6</v>
      </c>
      <c r="G7" s="121" t="s">
        <v>0</v>
      </c>
      <c r="H7" s="121"/>
      <c r="I7" s="122"/>
    </row>
    <row r="8" spans="1:21">
      <c r="A8" s="78" t="s">
        <v>5</v>
      </c>
      <c r="B8" s="126" t="s">
        <v>0</v>
      </c>
      <c r="C8" s="126"/>
      <c r="D8" s="126"/>
      <c r="E8" s="126" t="s">
        <v>4</v>
      </c>
      <c r="F8" s="79" t="s">
        <v>4</v>
      </c>
      <c r="G8" s="121" t="s">
        <v>0</v>
      </c>
      <c r="H8" s="121"/>
      <c r="I8" s="122"/>
    </row>
    <row r="9" spans="1:21" ht="15" thickBot="1">
      <c r="A9" s="80" t="s">
        <v>3</v>
      </c>
      <c r="B9" s="81" t="s">
        <v>0</v>
      </c>
      <c r="C9" s="82" t="s">
        <v>2</v>
      </c>
      <c r="D9" s="123" t="s">
        <v>0</v>
      </c>
      <c r="E9" s="123" t="s">
        <v>1</v>
      </c>
      <c r="F9" s="82" t="s">
        <v>1</v>
      </c>
      <c r="G9" s="123" t="s">
        <v>0</v>
      </c>
      <c r="H9" s="123"/>
      <c r="I9" s="124"/>
    </row>
    <row r="11" spans="1:21" ht="34.5" customHeight="1">
      <c r="A11" s="83"/>
      <c r="B11" s="117" t="s">
        <v>96</v>
      </c>
      <c r="C11" s="117"/>
      <c r="D11" s="117"/>
      <c r="E11" s="117"/>
      <c r="F11" s="117"/>
      <c r="G11" s="117"/>
      <c r="H11" s="117"/>
      <c r="I11" s="84"/>
    </row>
    <row r="13" spans="1:21" s="90" customFormat="1" ht="54" customHeight="1">
      <c r="A13" s="83"/>
      <c r="B13" s="117" t="s">
        <v>97</v>
      </c>
      <c r="C13" s="117"/>
      <c r="D13" s="117"/>
      <c r="E13" s="117"/>
      <c r="F13" s="117"/>
      <c r="G13" s="117"/>
      <c r="H13" s="117"/>
      <c r="I13" s="84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5" spans="1:21" s="90" customFormat="1" ht="30.75" customHeight="1">
      <c r="A15" s="85"/>
      <c r="B15" s="86" t="s">
        <v>64</v>
      </c>
      <c r="C15" s="87"/>
      <c r="D15" s="87"/>
      <c r="E15" s="87"/>
      <c r="F15" s="87"/>
      <c r="G15" s="87"/>
      <c r="H15" s="87"/>
      <c r="I15" s="88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</row>
    <row r="16" spans="1:21">
      <c r="A16" s="15"/>
      <c r="B16" s="15"/>
      <c r="C16" s="15"/>
      <c r="D16" s="15"/>
      <c r="E16" s="15"/>
      <c r="F16" s="15"/>
      <c r="G16" s="15"/>
      <c r="H16" s="15"/>
      <c r="I16" s="15"/>
      <c r="L16" s="60"/>
      <c r="M16" s="60"/>
    </row>
    <row r="17" spans="1:13">
      <c r="A17" s="57" t="s">
        <v>39</v>
      </c>
      <c r="B17" s="57"/>
      <c r="C17" s="57"/>
      <c r="D17" s="69" t="s">
        <v>95</v>
      </c>
      <c r="E17" s="21"/>
      <c r="F17" s="57" t="s">
        <v>40</v>
      </c>
      <c r="G17" s="57"/>
      <c r="H17" s="6"/>
      <c r="I17" s="6"/>
      <c r="L17" s="60"/>
      <c r="M17" s="60"/>
    </row>
    <row r="18" spans="1:13">
      <c r="A18" t="s">
        <v>20</v>
      </c>
      <c r="C18" s="91">
        <v>160000</v>
      </c>
      <c r="D18" s="70"/>
      <c r="F18" t="s">
        <v>57</v>
      </c>
      <c r="H18" s="16"/>
      <c r="I18" s="93">
        <v>0</v>
      </c>
      <c r="L18" s="60"/>
      <c r="M18" s="60"/>
    </row>
    <row r="19" spans="1:13">
      <c r="A19" t="s">
        <v>93</v>
      </c>
      <c r="C19" s="92"/>
      <c r="D19" s="70"/>
      <c r="F19" t="s">
        <v>58</v>
      </c>
      <c r="H19" s="16"/>
      <c r="I19" s="93">
        <v>0</v>
      </c>
    </row>
    <row r="20" spans="1:13">
      <c r="A20" t="s">
        <v>92</v>
      </c>
      <c r="C20" s="71">
        <f>IF(D20=BRONNEN!A5,MIN(((C18+C19)*0.0944),8999),0)</f>
        <v>0</v>
      </c>
      <c r="D20" s="93" t="s">
        <v>86</v>
      </c>
      <c r="F20" t="s">
        <v>32</v>
      </c>
      <c r="I20" s="93">
        <v>-2000</v>
      </c>
    </row>
    <row r="21" spans="1:13">
      <c r="A21" s="17" t="s">
        <v>35</v>
      </c>
      <c r="C21" s="4"/>
      <c r="D21" s="23"/>
      <c r="F21" t="s">
        <v>33</v>
      </c>
      <c r="I21" s="93">
        <v>0</v>
      </c>
    </row>
    <row r="22" spans="1:13">
      <c r="A22" t="s">
        <v>36</v>
      </c>
      <c r="C22" s="18">
        <f>IF(Invoer!D22=BRONNEN!A6,0,Tarieven!G40+Tarieven!G41)</f>
        <v>7280</v>
      </c>
      <c r="D22" s="94" t="s">
        <v>85</v>
      </c>
      <c r="F22" t="s">
        <v>14</v>
      </c>
      <c r="H22" s="16"/>
      <c r="I22" s="93">
        <v>-5000</v>
      </c>
    </row>
    <row r="23" spans="1:13">
      <c r="A23" t="s">
        <v>79</v>
      </c>
      <c r="C23" s="4">
        <f>Tarieven!G56+Tarieven!G57</f>
        <v>0</v>
      </c>
      <c r="D23" s="94" t="s">
        <v>86</v>
      </c>
      <c r="F23" t="s">
        <v>76</v>
      </c>
      <c r="H23" s="16"/>
      <c r="I23" s="93">
        <v>0</v>
      </c>
    </row>
    <row r="24" spans="1:13" ht="15" thickBot="1">
      <c r="A24" t="s">
        <v>37</v>
      </c>
      <c r="C24" s="18">
        <f>IF(D24=Tarieven!E43,0,((C18+C19)*D24))</f>
        <v>0</v>
      </c>
      <c r="D24" s="95" t="s">
        <v>86</v>
      </c>
      <c r="I24" s="19">
        <f>SUM(H18:I23)</f>
        <v>-7000</v>
      </c>
    </row>
    <row r="25" spans="1:13" ht="15" thickTop="1">
      <c r="A25" t="s">
        <v>80</v>
      </c>
      <c r="C25" s="4">
        <f>MIN(Tarieven!G50+Tarieven!G51+Tarieven!G52,Invoer!C18+Invoer!C19)</f>
        <v>0</v>
      </c>
      <c r="D25" s="94" t="s">
        <v>86</v>
      </c>
    </row>
    <row r="26" spans="1:13">
      <c r="A26" t="s">
        <v>38</v>
      </c>
      <c r="C26" s="4">
        <f>(C18+C19-C20-C22-C23-C24-C25)*Tarieven!E60</f>
        <v>21380.800000000003</v>
      </c>
      <c r="F26" s="20" t="s">
        <v>34</v>
      </c>
      <c r="I26" s="94">
        <v>30</v>
      </c>
    </row>
    <row r="27" spans="1:13">
      <c r="A27" s="21" t="s">
        <v>59</v>
      </c>
      <c r="B27" s="21"/>
      <c r="C27" s="22">
        <f>C18+C19-C20-C22-C23-C24-C25-C26</f>
        <v>131339.20000000001</v>
      </c>
      <c r="F27" s="40"/>
      <c r="I27" s="23"/>
    </row>
    <row r="29" spans="1:13">
      <c r="A29" s="57" t="s">
        <v>41</v>
      </c>
      <c r="B29" s="44"/>
      <c r="C29" s="58"/>
      <c r="D29" s="59"/>
      <c r="E29" s="21"/>
      <c r="F29" s="57" t="s">
        <v>50</v>
      </c>
      <c r="G29" s="8"/>
      <c r="H29" s="8"/>
      <c r="I29" s="8"/>
    </row>
    <row r="30" spans="1:13">
      <c r="A30" t="s">
        <v>13</v>
      </c>
      <c r="C30" s="92">
        <v>60000</v>
      </c>
      <c r="F30" t="s">
        <v>49</v>
      </c>
      <c r="I30" s="96">
        <v>0.2</v>
      </c>
    </row>
    <row r="31" spans="1:13">
      <c r="A31" t="s">
        <v>21</v>
      </c>
      <c r="C31" s="92">
        <f>C19</f>
        <v>0</v>
      </c>
      <c r="F31" t="s">
        <v>60</v>
      </c>
      <c r="I31" s="24">
        <v>67</v>
      </c>
    </row>
    <row r="32" spans="1:13">
      <c r="A32" t="s">
        <v>87</v>
      </c>
      <c r="C32" s="92">
        <v>0</v>
      </c>
      <c r="F32" t="s">
        <v>52</v>
      </c>
      <c r="I32" s="24">
        <f>I31-I26</f>
        <v>37</v>
      </c>
    </row>
    <row r="33" spans="1:21">
      <c r="A33" t="s">
        <v>16</v>
      </c>
      <c r="C33" s="4">
        <f>C18-C30-C32</f>
        <v>100000</v>
      </c>
    </row>
    <row r="34" spans="1:21">
      <c r="A34" t="s">
        <v>17</v>
      </c>
      <c r="C34" s="92">
        <v>0</v>
      </c>
      <c r="F34" t="s">
        <v>77</v>
      </c>
      <c r="I34" s="97">
        <v>0.02</v>
      </c>
    </row>
    <row r="35" spans="1:21">
      <c r="A35" t="s">
        <v>18</v>
      </c>
      <c r="C35" s="92">
        <v>0</v>
      </c>
    </row>
    <row r="37" spans="1:21" s="90" customFormat="1" ht="30.75" customHeight="1">
      <c r="A37" s="99"/>
      <c r="B37" s="100" t="s">
        <v>65</v>
      </c>
      <c r="C37" s="101"/>
      <c r="D37" s="101"/>
      <c r="E37" s="101"/>
      <c r="F37" s="101"/>
      <c r="G37" s="101"/>
      <c r="H37" s="101"/>
      <c r="I37" s="102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</row>
    <row r="39" spans="1:21">
      <c r="A39" s="120" t="s">
        <v>26</v>
      </c>
      <c r="B39" s="120"/>
      <c r="C39" s="120"/>
      <c r="F39" s="119" t="s">
        <v>27</v>
      </c>
      <c r="G39" s="119"/>
      <c r="H39" s="119"/>
      <c r="I39" s="119"/>
    </row>
    <row r="40" spans="1:21">
      <c r="F40" s="20"/>
      <c r="I40" s="23"/>
    </row>
    <row r="41" spans="1:21">
      <c r="A41" t="s">
        <v>28</v>
      </c>
      <c r="B41" s="25"/>
      <c r="C41" s="4">
        <f>C27+I24</f>
        <v>124339.20000000001</v>
      </c>
      <c r="D41" s="25"/>
      <c r="F41" t="str">
        <f t="shared" ref="F41:F45" si="0">A41</f>
        <v>Belastbaar inkomen box 1</v>
      </c>
      <c r="G41" s="25"/>
      <c r="H41" s="25"/>
      <c r="I41" s="26">
        <f>C30+C31+I24</f>
        <v>53000</v>
      </c>
    </row>
    <row r="43" spans="1:21">
      <c r="A43" t="s">
        <v>29</v>
      </c>
      <c r="C43" s="4">
        <f>Tarieven!G8</f>
        <v>54836.262500000004</v>
      </c>
      <c r="F43" t="str">
        <f>A43</f>
        <v>Inkomstenbelasting</v>
      </c>
      <c r="I43" s="26">
        <f>Tarieven!H8</f>
        <v>20034.932000000001</v>
      </c>
    </row>
    <row r="44" spans="1:21">
      <c r="A44" t="s">
        <v>19</v>
      </c>
      <c r="C44" s="4">
        <f>Tarieven!G19</f>
        <v>0</v>
      </c>
      <c r="F44" s="20" t="str">
        <f t="shared" si="0"/>
        <v>Algemene heffingskorting</v>
      </c>
      <c r="I44" s="26">
        <f>Tarieven!H19</f>
        <v>798.25447999999983</v>
      </c>
    </row>
    <row r="45" spans="1:21">
      <c r="A45" t="s">
        <v>30</v>
      </c>
      <c r="C45" s="4">
        <f>Tarieven!G27</f>
        <v>0</v>
      </c>
      <c r="F45" s="20" t="str">
        <f t="shared" si="0"/>
        <v>Arbeidskorting</v>
      </c>
      <c r="I45" s="26">
        <f>Tarieven!H27</f>
        <v>1842.6000000000001</v>
      </c>
    </row>
    <row r="46" spans="1:21">
      <c r="A46" t="s">
        <v>31</v>
      </c>
      <c r="C46" s="92">
        <v>0</v>
      </c>
      <c r="F46" s="20" t="str">
        <f>A46</f>
        <v>Overige heffingskortingen</v>
      </c>
      <c r="I46" s="98">
        <v>0</v>
      </c>
    </row>
    <row r="47" spans="1:21">
      <c r="A47" s="21" t="s">
        <v>94</v>
      </c>
      <c r="B47" s="21"/>
      <c r="C47" s="31">
        <f>IF((C44+C45+C46)&gt;C43,(C45+C44-C43),0)</f>
        <v>0</v>
      </c>
      <c r="D47" s="27"/>
      <c r="F47" s="56" t="str">
        <f>A47</f>
        <v>Af: i.v.m. te weinig belasting</v>
      </c>
      <c r="G47" s="21"/>
      <c r="H47" s="21"/>
      <c r="I47" s="31">
        <f>IF((I44+I45+I46)&gt;I43,I44+I45+I46-I43,0)</f>
        <v>0</v>
      </c>
    </row>
    <row r="48" spans="1:21">
      <c r="A48" t="s">
        <v>70</v>
      </c>
      <c r="C48" s="28">
        <f>C43-C44-C45-C46+C47</f>
        <v>54836.262500000004</v>
      </c>
      <c r="F48" s="20" t="s">
        <v>70</v>
      </c>
      <c r="I48" s="29">
        <f>I43-I44-I45-I46+I47</f>
        <v>17394.077520000003</v>
      </c>
    </row>
    <row r="49" spans="1:9">
      <c r="C49" s="4"/>
      <c r="F49" s="20"/>
      <c r="I49" s="26"/>
    </row>
    <row r="50" spans="1:9">
      <c r="A50" t="s">
        <v>71</v>
      </c>
      <c r="C50" s="4">
        <f>Tarieven!G10</f>
        <v>3187.8389999999999</v>
      </c>
      <c r="F50" s="20" t="s">
        <v>71</v>
      </c>
      <c r="I50" s="5">
        <f>Tarieven!H10</f>
        <v>3187.8389999999999</v>
      </c>
    </row>
    <row r="51" spans="1:9">
      <c r="A51" t="s">
        <v>42</v>
      </c>
      <c r="C51" s="30">
        <f>(-$I$21/((1+I34)^$I$32))*$I$30</f>
        <v>0</v>
      </c>
      <c r="F51" t="str">
        <f>A51</f>
        <v>Latente inkomstenbelasting</v>
      </c>
      <c r="I51" s="30">
        <f>((-$I$21+C20)/((1+I34)^$I$32))*$I$30</f>
        <v>0</v>
      </c>
    </row>
    <row r="52" spans="1:9">
      <c r="A52" s="21" t="s">
        <v>67</v>
      </c>
      <c r="B52" s="21"/>
      <c r="C52" s="31">
        <f>C48+C50+C51</f>
        <v>58024.101500000004</v>
      </c>
      <c r="D52" s="21"/>
      <c r="E52" s="21"/>
      <c r="F52" s="21" t="s">
        <v>67</v>
      </c>
      <c r="G52" s="21"/>
      <c r="H52" s="21"/>
      <c r="I52" s="31">
        <f>I48+I50+I51</f>
        <v>20581.916520000002</v>
      </c>
    </row>
    <row r="53" spans="1:9">
      <c r="C53" s="4"/>
      <c r="I53" s="4"/>
    </row>
    <row r="54" spans="1:9">
      <c r="C54" s="4"/>
      <c r="F54" t="s">
        <v>48</v>
      </c>
      <c r="I54" s="4">
        <f>C34*Tarieven!E14</f>
        <v>0</v>
      </c>
    </row>
    <row r="55" spans="1:9">
      <c r="C55" s="4"/>
      <c r="F55" t="s">
        <v>45</v>
      </c>
      <c r="I55" s="30">
        <f>MAX(0,(Tarieven!E14/((1+I34)^C35))*(C33-I59-C34))</f>
        <v>20250</v>
      </c>
    </row>
    <row r="56" spans="1:9">
      <c r="A56" s="21"/>
      <c r="B56" s="21"/>
      <c r="C56" s="31"/>
      <c r="D56" s="21"/>
      <c r="E56" s="21"/>
      <c r="F56" s="21" t="s">
        <v>68</v>
      </c>
      <c r="G56" s="21"/>
      <c r="H56" s="21"/>
      <c r="I56" s="32">
        <f>I54+I55</f>
        <v>20250</v>
      </c>
    </row>
    <row r="57" spans="1:9">
      <c r="C57" s="4"/>
      <c r="I57" s="26"/>
    </row>
    <row r="58" spans="1:9">
      <c r="C58" s="4"/>
      <c r="F58" t="s">
        <v>43</v>
      </c>
      <c r="G58" s="26">
        <f>C33</f>
        <v>100000</v>
      </c>
      <c r="H58" s="24"/>
      <c r="I58" s="30">
        <f>MAX(0,I59)</f>
        <v>19000</v>
      </c>
    </row>
    <row r="59" spans="1:9">
      <c r="C59" s="4"/>
      <c r="F59" s="21" t="s">
        <v>69</v>
      </c>
      <c r="G59" s="21"/>
      <c r="H59" s="21"/>
      <c r="I59" s="32">
        <f>Tarieven!H32</f>
        <v>19000</v>
      </c>
    </row>
    <row r="60" spans="1:9">
      <c r="I60" s="4"/>
    </row>
    <row r="61" spans="1:9">
      <c r="A61" t="s">
        <v>56</v>
      </c>
      <c r="C61" s="4">
        <f>C48+C50</f>
        <v>58024.101500000004</v>
      </c>
      <c r="F61" t="str">
        <f>A61</f>
        <v>Acute IB/ZVW</v>
      </c>
      <c r="I61" s="4">
        <f>I48+I50+I54</f>
        <v>20581.916520000002</v>
      </c>
    </row>
    <row r="62" spans="1:9">
      <c r="F62" t="s">
        <v>54</v>
      </c>
      <c r="I62" s="4">
        <f>I59</f>
        <v>19000</v>
      </c>
    </row>
    <row r="63" spans="1:9">
      <c r="A63" t="s">
        <v>53</v>
      </c>
      <c r="C63" s="4">
        <f>C51</f>
        <v>0</v>
      </c>
      <c r="F63" t="s">
        <v>53</v>
      </c>
      <c r="I63" s="4">
        <f>I55+I51</f>
        <v>20250</v>
      </c>
    </row>
    <row r="64" spans="1:9">
      <c r="C64" s="4"/>
      <c r="F64" t="s">
        <v>87</v>
      </c>
      <c r="I64" s="4">
        <f>C32</f>
        <v>0</v>
      </c>
    </row>
    <row r="65" spans="1:10">
      <c r="C65" s="4"/>
    </row>
    <row r="66" spans="1:10">
      <c r="A66" s="103" t="s">
        <v>89</v>
      </c>
      <c r="B66" s="104"/>
      <c r="C66" s="104">
        <f>SUM(C61:C65)</f>
        <v>58024.101500000004</v>
      </c>
      <c r="D66" s="104"/>
      <c r="E66" s="104"/>
      <c r="F66" s="104"/>
      <c r="G66" s="104"/>
      <c r="H66" s="104"/>
      <c r="I66" s="105">
        <f>SUM(I61:I64)</f>
        <v>59831.916519999999</v>
      </c>
    </row>
    <row r="67" spans="1:10">
      <c r="C67" s="4"/>
      <c r="I67" s="4"/>
    </row>
    <row r="68" spans="1:10">
      <c r="A68" s="106" t="s">
        <v>44</v>
      </c>
      <c r="B68" s="107"/>
      <c r="C68" s="104">
        <f>SUM(C61:C63)</f>
        <v>58024.101500000004</v>
      </c>
      <c r="D68" s="107"/>
      <c r="E68" s="107"/>
      <c r="F68" s="107"/>
      <c r="G68" s="107"/>
      <c r="H68" s="107"/>
      <c r="I68" s="108">
        <f>SUM(I61:I63)</f>
        <v>59831.916519999999</v>
      </c>
    </row>
    <row r="69" spans="1:10">
      <c r="A69" s="33"/>
      <c r="B69" s="33"/>
      <c r="D69" s="33"/>
      <c r="E69" s="33"/>
      <c r="F69" s="33"/>
      <c r="G69" s="33"/>
      <c r="H69" s="33"/>
    </row>
    <row r="70" spans="1:10">
      <c r="A70" s="106" t="s">
        <v>88</v>
      </c>
      <c r="B70" s="107"/>
      <c r="C70" s="104">
        <f>IF(C66&lt;I66,I66-C66,0)</f>
        <v>1807.8150199999945</v>
      </c>
      <c r="D70" s="104"/>
      <c r="E70" s="104"/>
      <c r="F70" s="104"/>
      <c r="G70" s="104"/>
      <c r="H70" s="104"/>
      <c r="I70" s="105">
        <f>IF(I66&lt;C66,C66-I66,0)</f>
        <v>0</v>
      </c>
    </row>
    <row r="71" spans="1:10">
      <c r="A71" s="33"/>
      <c r="B71" s="33"/>
      <c r="C71" s="34">
        <f>C61</f>
        <v>58024.101500000004</v>
      </c>
      <c r="D71" s="12"/>
      <c r="E71" s="12"/>
      <c r="F71" s="12"/>
      <c r="G71" s="12"/>
      <c r="H71" s="12"/>
      <c r="I71" s="35">
        <f>I61+I62+I64</f>
        <v>39581.916519999999</v>
      </c>
      <c r="J71" s="36"/>
    </row>
    <row r="72" spans="1:10">
      <c r="A72" s="106" t="s">
        <v>66</v>
      </c>
      <c r="B72" s="107"/>
      <c r="C72" s="104">
        <f>IF(C71&lt;I71,I71-C71,0)</f>
        <v>0</v>
      </c>
      <c r="D72" s="104"/>
      <c r="E72" s="104"/>
      <c r="F72" s="104"/>
      <c r="G72" s="104"/>
      <c r="H72" s="104"/>
      <c r="I72" s="105">
        <f>IF(I71&lt;C71,C71-I71,0)</f>
        <v>18442.184980000005</v>
      </c>
    </row>
    <row r="74" spans="1:10">
      <c r="A74" s="109" t="s">
        <v>72</v>
      </c>
      <c r="B74" s="110"/>
      <c r="C74" s="107" t="str">
        <f>IF(C68&lt;I68,BRONNEN!A2,A76)</f>
        <v>EENMANSZAAK IS VOORDELIGER</v>
      </c>
      <c r="D74" s="110"/>
      <c r="E74" s="110"/>
      <c r="F74" s="110"/>
      <c r="G74" s="110"/>
      <c r="H74" s="107">
        <f>IF(I68&lt;C68,BRONNEN!A3,A76)</f>
        <v>0</v>
      </c>
      <c r="I74" s="111"/>
    </row>
    <row r="76" spans="1:10">
      <c r="A76" s="118"/>
      <c r="B76" s="118"/>
      <c r="C76" s="118"/>
      <c r="D76" s="118"/>
      <c r="E76" s="118"/>
      <c r="F76" s="118"/>
      <c r="G76" s="118"/>
      <c r="H76" s="118"/>
      <c r="I76" s="118"/>
    </row>
    <row r="77" spans="1:10">
      <c r="A77" s="37"/>
      <c r="B77" s="37"/>
      <c r="C77" s="37"/>
      <c r="D77" s="37"/>
      <c r="E77" s="37"/>
      <c r="F77" s="37"/>
      <c r="G77" s="37"/>
      <c r="H77" s="37"/>
      <c r="I77" s="37"/>
    </row>
    <row r="78" spans="1:10">
      <c r="A78" s="38"/>
      <c r="B78" s="38"/>
      <c r="C78" s="38"/>
      <c r="D78" s="37"/>
      <c r="E78" s="37"/>
      <c r="F78" s="38"/>
      <c r="G78" s="38"/>
      <c r="H78" s="38"/>
      <c r="I78" s="38"/>
    </row>
    <row r="79" spans="1:10">
      <c r="A79" s="37"/>
      <c r="B79" s="37"/>
      <c r="C79" s="37"/>
      <c r="D79" s="37"/>
      <c r="E79" s="37"/>
      <c r="F79" s="37"/>
      <c r="G79" s="37"/>
      <c r="H79" s="37"/>
      <c r="I79" s="37"/>
    </row>
    <row r="80" spans="1:10">
      <c r="A80" s="37"/>
      <c r="B80" s="37"/>
      <c r="C80" s="18"/>
      <c r="D80" s="37"/>
      <c r="E80" s="37"/>
      <c r="F80" s="37"/>
      <c r="G80" s="37"/>
      <c r="H80" s="37"/>
      <c r="I80" s="37"/>
    </row>
    <row r="81" spans="1:9">
      <c r="A81" s="37"/>
      <c r="B81" s="37"/>
      <c r="C81" s="37"/>
      <c r="D81" s="37"/>
      <c r="E81" s="37"/>
      <c r="F81" s="37"/>
      <c r="G81" s="37"/>
      <c r="H81" s="37"/>
      <c r="I81" s="37"/>
    </row>
    <row r="82" spans="1:9">
      <c r="A82" s="37"/>
      <c r="B82" s="37"/>
      <c r="C82" s="18"/>
      <c r="D82" s="37"/>
      <c r="E82" s="37"/>
      <c r="F82" s="37"/>
      <c r="G82" s="37"/>
      <c r="H82" s="37"/>
      <c r="I82" s="37"/>
    </row>
    <row r="83" spans="1:9">
      <c r="A83" s="37"/>
      <c r="B83" s="37"/>
      <c r="C83" s="18"/>
      <c r="D83" s="37"/>
      <c r="E83" s="37"/>
      <c r="F83" s="37"/>
      <c r="G83" s="37"/>
      <c r="H83" s="37"/>
      <c r="I83" s="37"/>
    </row>
    <row r="84" spans="1:9">
      <c r="A84" s="37"/>
      <c r="B84" s="37"/>
      <c r="C84" s="18"/>
      <c r="D84" s="37"/>
      <c r="E84" s="37"/>
      <c r="F84" s="37"/>
      <c r="G84" s="37"/>
      <c r="H84" s="37"/>
      <c r="I84" s="18"/>
    </row>
    <row r="85" spans="1:9">
      <c r="A85" s="37"/>
      <c r="B85" s="37"/>
      <c r="C85" s="39"/>
      <c r="D85" s="37"/>
      <c r="E85" s="37"/>
      <c r="F85" s="37"/>
      <c r="G85" s="37"/>
      <c r="H85" s="37"/>
      <c r="I85" s="18"/>
    </row>
    <row r="86" spans="1:9">
      <c r="A86" s="37"/>
      <c r="B86" s="37"/>
      <c r="C86" s="37"/>
      <c r="D86" s="37"/>
      <c r="E86" s="37"/>
      <c r="F86" s="37"/>
      <c r="G86" s="37"/>
      <c r="H86" s="37"/>
      <c r="I86" s="37"/>
    </row>
    <row r="87" spans="1:9">
      <c r="A87" s="37"/>
      <c r="B87" s="37"/>
      <c r="C87" s="37"/>
      <c r="D87" s="37"/>
      <c r="E87" s="37"/>
      <c r="F87" s="37"/>
      <c r="G87" s="37"/>
      <c r="H87" s="37"/>
      <c r="I87" s="37"/>
    </row>
    <row r="88" spans="1:9">
      <c r="A88" s="37"/>
      <c r="B88" s="37"/>
      <c r="C88" s="37"/>
      <c r="D88" s="37"/>
      <c r="E88" s="37"/>
      <c r="F88" s="37"/>
      <c r="G88" s="37"/>
      <c r="H88" s="37"/>
      <c r="I88" s="37"/>
    </row>
    <row r="89" spans="1:9">
      <c r="A89" s="37"/>
      <c r="B89" s="37"/>
      <c r="C89" s="37"/>
      <c r="D89" s="37"/>
      <c r="E89" s="37"/>
      <c r="F89" s="37"/>
      <c r="G89" s="37"/>
      <c r="H89" s="37"/>
      <c r="I89" s="37"/>
    </row>
    <row r="90" spans="1:9">
      <c r="A90" s="37"/>
      <c r="B90" s="37"/>
      <c r="C90" s="37"/>
      <c r="D90" s="37"/>
      <c r="E90" s="37"/>
      <c r="F90" s="37"/>
      <c r="G90" s="37"/>
      <c r="H90" s="37"/>
      <c r="I90" s="37"/>
    </row>
    <row r="91" spans="1:9">
      <c r="A91" s="37"/>
      <c r="B91" s="37"/>
      <c r="C91" s="37"/>
      <c r="D91" s="37"/>
      <c r="E91" s="37"/>
      <c r="F91" s="37"/>
      <c r="G91" s="37"/>
      <c r="H91" s="37"/>
      <c r="I91" s="37"/>
    </row>
    <row r="92" spans="1:9">
      <c r="A92" s="37"/>
      <c r="B92" s="37"/>
      <c r="C92" s="37"/>
      <c r="D92" s="37"/>
      <c r="E92" s="37"/>
      <c r="F92" s="37"/>
      <c r="G92" s="37"/>
      <c r="H92" s="37"/>
      <c r="I92" s="37"/>
    </row>
    <row r="93" spans="1:9">
      <c r="A93" s="37"/>
      <c r="B93" s="37"/>
      <c r="C93" s="37"/>
      <c r="D93" s="37"/>
      <c r="E93" s="37"/>
      <c r="F93" s="37"/>
      <c r="G93" s="37"/>
      <c r="H93" s="37"/>
      <c r="I93" s="37"/>
    </row>
    <row r="94" spans="1:9">
      <c r="A94" s="37"/>
      <c r="B94" s="37"/>
      <c r="C94" s="37"/>
      <c r="D94" s="37"/>
      <c r="E94" s="37"/>
      <c r="F94" s="37"/>
      <c r="G94" s="37"/>
      <c r="H94" s="37"/>
      <c r="I94" s="37"/>
    </row>
  </sheetData>
  <sheetProtection algorithmName="SHA-512" hashValue="0pbN/VLoXL7XgbI32mxUlcvxfkUOJBTRyz7JzPdjbBTwlUtRVDFsy+R1CQFyu0Xq5XDPVYvzZlPhzd2KlNzv5Q==" saltValue="4jBcsjSmFw6DIFkXxQ+XzQ==" spinCount="100000" sheet="1" objects="1" scenarios="1"/>
  <dataConsolidate/>
  <mergeCells count="11">
    <mergeCell ref="B13:H13"/>
    <mergeCell ref="A76:I76"/>
    <mergeCell ref="F39:I39"/>
    <mergeCell ref="A39:C39"/>
    <mergeCell ref="G7:I7"/>
    <mergeCell ref="G8:I8"/>
    <mergeCell ref="G9:I9"/>
    <mergeCell ref="B7:E7"/>
    <mergeCell ref="B8:E8"/>
    <mergeCell ref="D9:E9"/>
    <mergeCell ref="B11:H11"/>
  </mergeCells>
  <dataValidations count="2">
    <dataValidation allowBlank="1" showInputMessage="1" showErrorMessage="1" promptTitle="Negatief bedrag met (-)" prompt="Voer een negatief bedrag in met een (-) voor het getal." sqref="I20:I23" xr:uid="{00000000-0002-0000-0000-000000000000}"/>
    <dataValidation type="whole" allowBlank="1" showInputMessage="1" showErrorMessage="1" errorTitle="Onjuiste invoer" error="Het maximale dividend ligt tussen 0 en de winst na vpb._x000a_" sqref="C34" xr:uid="{00000000-0002-0000-0000-000001000000}">
      <formula1>0</formula1>
      <formula2>C33-I59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BRONNEN!$A$5:$A$7</xm:f>
          </x14:formula1>
          <xm:sqref>D22</xm:sqref>
        </x14:dataValidation>
        <x14:dataValidation type="list" allowBlank="1" showInputMessage="1" showErrorMessage="1" xr:uid="{00000000-0002-0000-0000-000003000000}">
          <x14:formula1>
            <xm:f>Tarieven!$E$43:$E$47</xm:f>
          </x14:formula1>
          <xm:sqref>D24</xm:sqref>
        </x14:dataValidation>
        <x14:dataValidation type="list" allowBlank="1" showInputMessage="1" showErrorMessage="1" xr:uid="{00000000-0002-0000-0000-000004000000}">
          <x14:formula1>
            <xm:f>Tarieven!$B$50:$B$53</xm:f>
          </x14:formula1>
          <xm:sqref>D25</xm:sqref>
        </x14:dataValidation>
        <x14:dataValidation type="list" allowBlank="1" showInputMessage="1" showErrorMessage="1" xr:uid="{00000000-0002-0000-0000-000005000000}">
          <x14:formula1>
            <xm:f>Tarieven!$B$56:$B$58</xm:f>
          </x14:formula1>
          <xm:sqref>D23</xm:sqref>
        </x14:dataValidation>
        <x14:dataValidation type="list" allowBlank="1" showInputMessage="1" showErrorMessage="1" xr:uid="{05577AB0-5AD3-4352-A6B9-299159FDC05C}">
          <x14:formula1>
            <xm:f>BRONNEN!$A$5:$A$6</xm:f>
          </x14:formula1>
          <xm:sqref>D20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selection activeCell="K10" sqref="K10"/>
    </sheetView>
  </sheetViews>
  <sheetFormatPr defaultColWidth="8.88671875" defaultRowHeight="14.4"/>
  <cols>
    <col min="1" max="16384" width="8.88671875" style="36"/>
  </cols>
  <sheetData>
    <row r="1" spans="1:9">
      <c r="A1" s="54" t="s">
        <v>51</v>
      </c>
      <c r="B1" s="55"/>
      <c r="C1" s="55"/>
      <c r="D1" s="55"/>
      <c r="E1" s="55"/>
      <c r="F1" s="55"/>
      <c r="G1" s="55"/>
      <c r="H1" s="72"/>
      <c r="I1" s="72"/>
    </row>
    <row r="2" spans="1:9">
      <c r="A2" s="55" t="s">
        <v>73</v>
      </c>
      <c r="B2" s="55"/>
      <c r="C2" s="55"/>
      <c r="D2" s="55"/>
      <c r="E2" s="55"/>
      <c r="F2" s="55"/>
      <c r="G2" s="55"/>
      <c r="H2" s="72"/>
      <c r="I2" s="72"/>
    </row>
    <row r="3" spans="1:9">
      <c r="A3" s="55" t="s">
        <v>74</v>
      </c>
      <c r="B3" s="55"/>
      <c r="C3" s="55"/>
      <c r="D3" s="55"/>
      <c r="E3" s="55"/>
      <c r="F3" s="55"/>
      <c r="G3" s="55"/>
      <c r="H3" s="72"/>
      <c r="I3" s="72"/>
    </row>
    <row r="4" spans="1:9">
      <c r="A4" s="54" t="s">
        <v>35</v>
      </c>
      <c r="B4" s="55"/>
      <c r="C4" s="55"/>
      <c r="D4" s="55"/>
      <c r="E4" s="55"/>
      <c r="F4" s="55"/>
      <c r="G4" s="55"/>
      <c r="H4" s="72"/>
      <c r="I4" s="72"/>
    </row>
    <row r="5" spans="1:9">
      <c r="A5" s="55" t="s">
        <v>85</v>
      </c>
      <c r="B5" s="55"/>
      <c r="C5" s="55"/>
      <c r="D5" s="55"/>
      <c r="E5" s="55"/>
      <c r="F5" s="55"/>
      <c r="G5" s="55"/>
      <c r="H5" s="72"/>
      <c r="I5" s="72"/>
    </row>
    <row r="6" spans="1:9">
      <c r="A6" s="55" t="s">
        <v>86</v>
      </c>
      <c r="B6" s="55"/>
      <c r="C6" s="55"/>
      <c r="D6" s="55"/>
      <c r="E6" s="55"/>
      <c r="F6" s="55"/>
      <c r="G6" s="55"/>
      <c r="H6" s="72"/>
      <c r="I6" s="72"/>
    </row>
    <row r="7" spans="1:9">
      <c r="A7" s="55" t="s">
        <v>78</v>
      </c>
      <c r="B7" s="55"/>
      <c r="C7" s="55"/>
      <c r="D7" s="55"/>
      <c r="E7" s="55"/>
      <c r="F7" s="55"/>
      <c r="G7" s="55"/>
      <c r="H7" s="72"/>
      <c r="I7" s="72"/>
    </row>
    <row r="8" spans="1:9">
      <c r="A8" s="55"/>
      <c r="B8" s="55"/>
      <c r="C8" s="55"/>
      <c r="D8" s="55"/>
      <c r="E8" s="55"/>
      <c r="F8" s="55"/>
      <c r="G8" s="55"/>
      <c r="H8" s="72"/>
      <c r="I8" s="72"/>
    </row>
    <row r="9" spans="1:9">
      <c r="A9" s="55"/>
      <c r="B9" s="55"/>
      <c r="C9" s="55"/>
      <c r="D9" s="55"/>
      <c r="E9" s="55"/>
      <c r="F9" s="55"/>
      <c r="G9" s="55"/>
      <c r="H9" s="72"/>
      <c r="I9" s="72"/>
    </row>
    <row r="10" spans="1:9">
      <c r="A10" s="55"/>
      <c r="B10" s="55"/>
      <c r="C10" s="55"/>
      <c r="D10" s="55"/>
      <c r="E10" s="55"/>
      <c r="F10" s="55"/>
      <c r="G10" s="55"/>
      <c r="H10" s="72"/>
      <c r="I10" s="72"/>
    </row>
    <row r="11" spans="1:9">
      <c r="A11" s="55"/>
      <c r="B11" s="55"/>
      <c r="C11" s="55"/>
      <c r="D11" s="55"/>
      <c r="E11" s="55"/>
      <c r="F11" s="55"/>
      <c r="G11" s="55"/>
      <c r="H11" s="72"/>
      <c r="I11" s="72"/>
    </row>
    <row r="12" spans="1:9">
      <c r="A12" s="55"/>
      <c r="B12" s="55"/>
      <c r="C12" s="55"/>
      <c r="D12" s="55"/>
      <c r="E12" s="55"/>
      <c r="F12" s="55"/>
      <c r="G12" s="55"/>
      <c r="H12" s="72"/>
      <c r="I12" s="72"/>
    </row>
    <row r="13" spans="1:9">
      <c r="A13" s="55"/>
      <c r="B13" s="55"/>
      <c r="C13" s="55"/>
      <c r="D13" s="55"/>
      <c r="E13" s="55"/>
      <c r="F13" s="55"/>
      <c r="G13" s="55"/>
      <c r="H13" s="72"/>
      <c r="I13" s="72"/>
    </row>
    <row r="14" spans="1:9">
      <c r="A14" s="55"/>
      <c r="B14" s="55"/>
      <c r="C14" s="55"/>
      <c r="D14" s="55"/>
      <c r="E14" s="55"/>
      <c r="F14" s="55"/>
      <c r="G14" s="55"/>
      <c r="H14" s="72"/>
      <c r="I14" s="72"/>
    </row>
    <row r="15" spans="1:9">
      <c r="A15" s="55"/>
      <c r="B15" s="55"/>
      <c r="C15" s="55"/>
      <c r="D15" s="55"/>
      <c r="E15" s="55"/>
      <c r="F15" s="55"/>
      <c r="G15" s="55"/>
      <c r="H15" s="72"/>
      <c r="I15" s="72"/>
    </row>
    <row r="16" spans="1:9">
      <c r="A16" s="55"/>
      <c r="B16" s="55"/>
      <c r="C16" s="55"/>
      <c r="D16" s="55"/>
      <c r="E16" s="55"/>
      <c r="F16" s="55"/>
      <c r="G16" s="55"/>
      <c r="H16" s="72"/>
      <c r="I16" s="72"/>
    </row>
    <row r="17" spans="1:9">
      <c r="A17" s="55"/>
      <c r="B17" s="55"/>
      <c r="C17" s="55"/>
      <c r="D17" s="55"/>
      <c r="E17" s="55"/>
      <c r="F17" s="55"/>
      <c r="G17" s="55"/>
      <c r="H17" s="72"/>
      <c r="I17" s="72"/>
    </row>
    <row r="18" spans="1:9">
      <c r="A18" s="55"/>
      <c r="B18" s="55"/>
      <c r="C18" s="55"/>
      <c r="D18" s="55"/>
      <c r="E18" s="55"/>
      <c r="F18" s="55"/>
      <c r="G18" s="55"/>
      <c r="H18" s="72"/>
      <c r="I18" s="72"/>
    </row>
    <row r="19" spans="1:9">
      <c r="A19" s="55"/>
      <c r="B19" s="55"/>
      <c r="C19" s="55"/>
      <c r="D19" s="55"/>
      <c r="E19" s="55"/>
      <c r="F19" s="55"/>
      <c r="G19" s="55"/>
      <c r="H19" s="72"/>
      <c r="I19" s="72"/>
    </row>
    <row r="20" spans="1:9">
      <c r="A20" s="55"/>
      <c r="B20" s="55"/>
      <c r="C20" s="55"/>
      <c r="D20" s="55"/>
      <c r="E20" s="55"/>
      <c r="F20" s="55"/>
      <c r="G20" s="55"/>
      <c r="H20" s="72"/>
      <c r="I20" s="72"/>
    </row>
    <row r="21" spans="1:9">
      <c r="A21" s="55"/>
      <c r="B21" s="55"/>
      <c r="C21" s="55"/>
      <c r="D21" s="55"/>
      <c r="E21" s="55"/>
      <c r="F21" s="55"/>
      <c r="G21" s="55"/>
      <c r="H21" s="72"/>
      <c r="I21" s="72"/>
    </row>
    <row r="22" spans="1:9">
      <c r="A22" s="55"/>
      <c r="B22" s="55"/>
      <c r="C22" s="55"/>
      <c r="D22" s="55"/>
      <c r="E22" s="55"/>
      <c r="F22" s="55"/>
      <c r="G22" s="55"/>
      <c r="H22" s="72"/>
      <c r="I22" s="72"/>
    </row>
    <row r="23" spans="1:9">
      <c r="A23" s="55"/>
      <c r="B23" s="55"/>
      <c r="C23" s="55"/>
      <c r="D23" s="55"/>
      <c r="E23" s="55"/>
      <c r="F23" s="55"/>
      <c r="G23" s="55"/>
      <c r="H23" s="72"/>
      <c r="I23" s="72"/>
    </row>
    <row r="24" spans="1:9">
      <c r="A24" s="55"/>
      <c r="B24" s="55"/>
      <c r="C24" s="55"/>
      <c r="D24" s="55"/>
      <c r="E24" s="55"/>
      <c r="F24" s="55"/>
      <c r="G24" s="55"/>
      <c r="H24" s="72"/>
      <c r="I24" s="72"/>
    </row>
    <row r="25" spans="1:9">
      <c r="A25" s="55"/>
      <c r="B25" s="55"/>
      <c r="C25" s="55"/>
      <c r="D25" s="55"/>
      <c r="E25" s="55"/>
      <c r="F25" s="55"/>
      <c r="G25" s="55"/>
      <c r="H25" s="72"/>
      <c r="I25" s="72"/>
    </row>
    <row r="26" spans="1:9">
      <c r="A26" s="73"/>
      <c r="B26" s="73"/>
      <c r="C26" s="73"/>
      <c r="D26" s="73"/>
      <c r="E26" s="73"/>
      <c r="F26" s="73"/>
      <c r="G26" s="73"/>
    </row>
    <row r="27" spans="1:9">
      <c r="A27" s="73"/>
      <c r="B27" s="73"/>
      <c r="C27" s="73"/>
      <c r="D27" s="73"/>
      <c r="E27" s="73"/>
      <c r="F27" s="73"/>
      <c r="G27" s="73"/>
    </row>
    <row r="28" spans="1:9">
      <c r="A28" s="73"/>
      <c r="B28" s="73"/>
      <c r="C28" s="73"/>
      <c r="D28" s="73"/>
      <c r="E28" s="73"/>
      <c r="F28" s="73"/>
      <c r="G28" s="73"/>
    </row>
    <row r="29" spans="1:9">
      <c r="A29" s="73"/>
      <c r="B29" s="73"/>
      <c r="C29" s="73"/>
      <c r="D29" s="73"/>
      <c r="E29" s="73"/>
      <c r="F29" s="73"/>
      <c r="G29" s="73"/>
    </row>
    <row r="30" spans="1:9">
      <c r="A30" s="73"/>
      <c r="B30" s="73"/>
      <c r="C30" s="73"/>
      <c r="D30" s="73"/>
      <c r="E30" s="73"/>
      <c r="F30" s="73"/>
      <c r="G30" s="73"/>
    </row>
    <row r="31" spans="1:9">
      <c r="A31" s="73"/>
      <c r="B31" s="73"/>
      <c r="C31" s="73"/>
      <c r="D31" s="73"/>
      <c r="E31" s="73"/>
      <c r="F31" s="73"/>
      <c r="G31" s="73"/>
    </row>
    <row r="32" spans="1:9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</sheetData>
  <sheetProtection password="A59C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63"/>
  <sheetViews>
    <sheetView showGridLines="0" topLeftCell="B1" zoomScaleNormal="100" zoomScalePageLayoutView="150" workbookViewId="0">
      <pane ySplit="1" topLeftCell="A2" activePane="bottomLeft" state="frozen"/>
      <selection pane="bottomLeft" activeCell="B2" sqref="B2"/>
    </sheetView>
  </sheetViews>
  <sheetFormatPr defaultColWidth="8.88671875" defaultRowHeight="14.4"/>
  <cols>
    <col min="1" max="1" width="8.6640625" customWidth="1"/>
    <col min="2" max="2" width="34.88671875" bestFit="1" customWidth="1"/>
    <col min="3" max="3" width="10" customWidth="1"/>
    <col min="4" max="4" width="9.44140625" customWidth="1"/>
    <col min="5" max="5" width="12.33203125" bestFit="1" customWidth="1"/>
    <col min="7" max="7" width="10.88671875" bestFit="1" customWidth="1"/>
    <col min="8" max="8" width="11.6640625" bestFit="1" customWidth="1"/>
    <col min="11" max="11" width="11" bestFit="1" customWidth="1"/>
  </cols>
  <sheetData>
    <row r="1" spans="2:10">
      <c r="G1" s="61" t="s">
        <v>46</v>
      </c>
      <c r="H1" s="42" t="s">
        <v>47</v>
      </c>
    </row>
    <row r="2" spans="2:10">
      <c r="B2" s="6" t="s">
        <v>10</v>
      </c>
      <c r="C2" s="9"/>
      <c r="D2" s="9"/>
      <c r="E2" s="6">
        <v>2019</v>
      </c>
      <c r="G2" s="62">
        <f>Invoer!C41</f>
        <v>124339.20000000001</v>
      </c>
      <c r="H2" s="43">
        <f>Invoer!I41</f>
        <v>53000</v>
      </c>
    </row>
    <row r="3" spans="2:10">
      <c r="B3" s="4">
        <v>0</v>
      </c>
      <c r="C3" s="5">
        <v>20384</v>
      </c>
      <c r="D3" s="5">
        <f>C3*E3</f>
        <v>7470.7359999999999</v>
      </c>
      <c r="E3" s="3">
        <v>0.36649999999999999</v>
      </c>
      <c r="G3" s="63">
        <f>IF(Invoer!C41&gt;Tarieven!$C$3,Tarieven!$C$3*Tarieven!$E$3,Invoer!C41*Tarieven!$E$3)</f>
        <v>7470.7359999999999</v>
      </c>
      <c r="H3" s="46">
        <f>IF(Invoer!I41&gt;Tarieven!$C$3,Tarieven!$C$3*Tarieven!$E$3,Invoer!I41*Tarieven!$E$3)</f>
        <v>7470.7359999999999</v>
      </c>
    </row>
    <row r="4" spans="2:10">
      <c r="B4" s="4">
        <f>C3</f>
        <v>20384</v>
      </c>
      <c r="C4" s="5">
        <v>34300</v>
      </c>
      <c r="D4" s="5">
        <f>(C4-B4)*E4</f>
        <v>5301.9960000000001</v>
      </c>
      <c r="E4" s="3">
        <v>0.38100000000000001</v>
      </c>
      <c r="G4" s="63">
        <f>MAX(0,IF(Invoer!C41&gt;Tarieven!$C$4,(Tarieven!$C$4-Tarieven!$B$4)*Tarieven!$E$4,(Invoer!C41-Tarieven!$B$4)*Tarieven!$E$4))</f>
        <v>5301.9960000000001</v>
      </c>
      <c r="H4" s="46">
        <f>MAX(0,IF(Invoer!I41&gt;Tarieven!$C$4,(Tarieven!$C$4-Tarieven!$B$4)*Tarieven!$E$4,(Invoer!I41-Tarieven!$B$4)*Tarieven!$E$4))</f>
        <v>5301.9960000000001</v>
      </c>
    </row>
    <row r="5" spans="2:10">
      <c r="B5" s="4">
        <f>C4</f>
        <v>34300</v>
      </c>
      <c r="C5" s="5">
        <v>68507</v>
      </c>
      <c r="D5" s="5">
        <f>(C5-B5)*E5</f>
        <v>13032.867</v>
      </c>
      <c r="E5" s="3">
        <v>0.38100000000000001</v>
      </c>
      <c r="G5" s="63">
        <f>MAX(0,IF(Invoer!C41&gt;Tarieven!$C$5,(Tarieven!$C$5-Tarieven!$B$5)*Tarieven!$E$5,(Invoer!C41-Tarieven!$B$5)*Tarieven!$E$5))</f>
        <v>13032.867</v>
      </c>
      <c r="H5" s="46">
        <f>MAX(0,IF(Invoer!I41&gt;Tarieven!$C$5,(Tarieven!$C$5-Tarieven!$B$5)*Tarieven!$E$5,(Invoer!I41-Tarieven!$B$5)*Tarieven!$E$5))</f>
        <v>7124.7</v>
      </c>
    </row>
    <row r="6" spans="2:10">
      <c r="B6" s="4">
        <f>C5</f>
        <v>68507</v>
      </c>
      <c r="C6" s="5"/>
      <c r="D6" s="5"/>
      <c r="E6" s="3">
        <v>0.51749999999999996</v>
      </c>
      <c r="G6" s="63">
        <f>IF(Invoer!C41&gt;Tarieven!$B$6,(Invoer!C41-Tarieven!$B$6)*Tarieven!$E$6,0)</f>
        <v>28893.163500000002</v>
      </c>
      <c r="H6" s="46">
        <f>IF(Invoer!I41&gt;Tarieven!$B$6,(Invoer!I41-Tarieven!$B$6)*Tarieven!$E$6,0)</f>
        <v>0</v>
      </c>
    </row>
    <row r="7" spans="2:10">
      <c r="B7" s="31" t="s">
        <v>91</v>
      </c>
      <c r="C7" s="5">
        <f>-Invoer!I22</f>
        <v>5000</v>
      </c>
      <c r="D7" s="5"/>
      <c r="E7" s="3">
        <v>2.75E-2</v>
      </c>
      <c r="G7" s="63">
        <f>C7*E7</f>
        <v>137.5</v>
      </c>
      <c r="H7" s="46">
        <f>C7*E7</f>
        <v>137.5</v>
      </c>
    </row>
    <row r="8" spans="2:10">
      <c r="C8" s="1"/>
      <c r="D8" s="1"/>
      <c r="G8" s="64">
        <f>MAX(SUM(G3:G7),0)</f>
        <v>54836.262500000004</v>
      </c>
      <c r="H8" s="47">
        <f>MAX(SUM(H3:H7),0)</f>
        <v>20034.932000000001</v>
      </c>
      <c r="J8" s="20"/>
    </row>
    <row r="9" spans="2:10">
      <c r="B9" s="6" t="s">
        <v>55</v>
      </c>
      <c r="C9" s="6"/>
      <c r="D9" s="6"/>
      <c r="E9" s="6">
        <v>2019</v>
      </c>
      <c r="G9" s="63"/>
      <c r="H9" s="46"/>
    </row>
    <row r="10" spans="2:10">
      <c r="B10" t="s">
        <v>22</v>
      </c>
      <c r="C10" s="14">
        <v>55927</v>
      </c>
      <c r="D10" s="3">
        <v>5.7000000000000002E-2</v>
      </c>
      <c r="E10" s="20">
        <f>C10*D10</f>
        <v>3187.8389999999999</v>
      </c>
      <c r="G10" s="65">
        <f>IF((Invoer!C18+Invoer!C19-Invoer!C20-Invoer!C22-Invoer!C24-Invoer!C23-Invoer!C26+Invoer!H18+Invoer!H19)&lt;Tarieven!C10,(Invoer!C18+Invoer!C19-Invoer!C20-Invoer!C22-Invoer!C24-Invoer!C23-Invoer!C26+Invoer!H18+Invoer!H19)*Tarieven!D10,Tarieven!C10*Tarieven!D10)</f>
        <v>3187.8389999999999</v>
      </c>
      <c r="H10" s="48">
        <f>IF((Invoer!C30+Invoer!H18+Invoer!H19+Invoer!C31)&lt;Tarieven!C10,(Invoer!C30+Invoer!H18+Invoer!H19+Invoer!C31)*Tarieven!D10,Tarieven!C10*Tarieven!D10)</f>
        <v>3187.8389999999999</v>
      </c>
    </row>
    <row r="11" spans="2:10">
      <c r="G11" s="63"/>
      <c r="H11" s="46"/>
    </row>
    <row r="12" spans="2:10">
      <c r="G12" s="66"/>
      <c r="H12" s="51"/>
    </row>
    <row r="13" spans="2:10">
      <c r="B13" s="6" t="s">
        <v>11</v>
      </c>
      <c r="C13" s="7"/>
      <c r="D13" s="7"/>
      <c r="E13" s="6">
        <v>2019</v>
      </c>
      <c r="G13" s="63"/>
      <c r="H13" s="46">
        <f>Invoer!C34</f>
        <v>0</v>
      </c>
    </row>
    <row r="14" spans="2:10">
      <c r="C14" s="1"/>
      <c r="D14" s="1"/>
      <c r="E14" s="3">
        <v>0.25</v>
      </c>
      <c r="G14" s="64"/>
      <c r="H14" s="47">
        <f>H13*E14</f>
        <v>0</v>
      </c>
    </row>
    <row r="15" spans="2:10">
      <c r="C15" s="1"/>
      <c r="D15" s="1"/>
      <c r="G15" s="63"/>
      <c r="H15" s="46"/>
    </row>
    <row r="16" spans="2:10">
      <c r="B16" s="6" t="s">
        <v>19</v>
      </c>
      <c r="C16" s="8"/>
      <c r="D16" s="8"/>
      <c r="E16" s="6">
        <v>2019</v>
      </c>
      <c r="G16" s="66"/>
      <c r="H16" s="51"/>
    </row>
    <row r="17" spans="2:11">
      <c r="B17" t="s">
        <v>22</v>
      </c>
      <c r="E17" s="4">
        <v>2477</v>
      </c>
      <c r="G17" s="63">
        <f>E17</f>
        <v>2477</v>
      </c>
      <c r="H17" s="46">
        <f>E17</f>
        <v>2477</v>
      </c>
    </row>
    <row r="18" spans="2:11">
      <c r="B18" t="s">
        <v>23</v>
      </c>
      <c r="C18" s="4">
        <f>C3</f>
        <v>20384</v>
      </c>
      <c r="D18" s="10">
        <v>5.1470000000000002E-2</v>
      </c>
      <c r="E18" s="4"/>
      <c r="G18" s="67">
        <f>MIN($E$17,IF(G2&lt;$C$18,0,(((Invoer!C27+Invoer!I24)-Tarieven!C18)*Tarieven!D18)))</f>
        <v>2477</v>
      </c>
      <c r="H18" s="49">
        <f>MIN(E17,(IF(H2&lt;C18,0,(((Invoer!C30+Invoer!C31+Invoer!I24)-C18)*D18))))</f>
        <v>1678.7455200000002</v>
      </c>
    </row>
    <row r="19" spans="2:11">
      <c r="B19" t="s">
        <v>24</v>
      </c>
      <c r="E19" s="4">
        <v>0</v>
      </c>
      <c r="G19" s="65">
        <f>G17-G18</f>
        <v>0</v>
      </c>
      <c r="H19" s="48">
        <f>H17-H18</f>
        <v>798.25447999999983</v>
      </c>
    </row>
    <row r="20" spans="2:11">
      <c r="G20" s="63"/>
      <c r="H20" s="46"/>
    </row>
    <row r="21" spans="2:11">
      <c r="B21" s="6" t="s">
        <v>30</v>
      </c>
      <c r="C21" s="8"/>
      <c r="D21" s="8"/>
      <c r="E21" s="6">
        <v>2019</v>
      </c>
      <c r="G21" s="68">
        <f>Invoer!C18+Invoer!C19+Invoer!I18+Invoer!I19</f>
        <v>160000</v>
      </c>
      <c r="H21" s="50">
        <f>(Invoer!I18+Invoer!I19+Invoer!C30+Invoer!C31)</f>
        <v>60000</v>
      </c>
    </row>
    <row r="22" spans="2:11">
      <c r="B22" t="s">
        <v>22</v>
      </c>
      <c r="E22" s="4">
        <v>3399</v>
      </c>
      <c r="G22" s="63"/>
      <c r="H22" s="46"/>
    </row>
    <row r="23" spans="2:11">
      <c r="B23" t="s">
        <v>25</v>
      </c>
      <c r="C23" s="4"/>
      <c r="D23" s="11">
        <v>1.754E-2</v>
      </c>
      <c r="E23" s="4">
        <v>170</v>
      </c>
      <c r="G23" s="63">
        <f>MIN($E$23,$D$23*$G$21)</f>
        <v>170</v>
      </c>
      <c r="H23" s="46">
        <f>MIN($E$23,$D$23*$H$21)</f>
        <v>170</v>
      </c>
    </row>
    <row r="24" spans="2:11">
      <c r="C24" s="4">
        <v>9694</v>
      </c>
      <c r="D24" s="11">
        <v>0.28711999999999999</v>
      </c>
      <c r="E24" s="4"/>
      <c r="G24" s="63">
        <f>MAX(IF((($G$21-$C$24)*$D$24)&gt;($E$22-$E$23),($E$22-$E$23),($G$21-$C$24)*$D$24),0)</f>
        <v>3229</v>
      </c>
      <c r="H24" s="46">
        <f>MAX(IF((($H$21-$C$24)*$D$24)&gt;($E$22-$E$23),($E$22-$E$23),($H$21-$C$24)*$D$24),0)</f>
        <v>3229</v>
      </c>
      <c r="J24" s="20"/>
      <c r="K24" s="52"/>
    </row>
    <row r="25" spans="2:11">
      <c r="B25" t="s">
        <v>23</v>
      </c>
      <c r="C25" s="4">
        <v>34060</v>
      </c>
      <c r="D25" s="11">
        <v>0.06</v>
      </c>
      <c r="E25" s="4"/>
      <c r="F25" t="s">
        <v>90</v>
      </c>
      <c r="G25" s="63">
        <f>MAX(IF(I25&lt;0,0,(MIN(E22,(($G$21-$C$25)*$D$25)))),0)</f>
        <v>3399</v>
      </c>
      <c r="H25" s="46">
        <f>MAX(IF(J25&lt;0,0,(MIN(E22,($H$21-$C$25)*$D$25))),0)</f>
        <v>1556.3999999999999</v>
      </c>
      <c r="I25" s="53">
        <f>G21-C25</f>
        <v>125940</v>
      </c>
      <c r="J25" s="53">
        <f>H21-C25</f>
        <v>25940</v>
      </c>
    </row>
    <row r="26" spans="2:11">
      <c r="B26" t="s">
        <v>24</v>
      </c>
      <c r="E26" s="4">
        <v>0</v>
      </c>
      <c r="G26" s="63"/>
      <c r="H26" s="46"/>
    </row>
    <row r="27" spans="2:11">
      <c r="G27" s="64">
        <f>MAX(SUM(G23+G24-G25),0)</f>
        <v>0</v>
      </c>
      <c r="H27" s="47">
        <f>MAX(SUM(H23+H24-H25),0)</f>
        <v>1842.6000000000001</v>
      </c>
    </row>
    <row r="28" spans="2:11">
      <c r="G28" s="63"/>
      <c r="H28" s="46"/>
    </row>
    <row r="29" spans="2:11">
      <c r="B29" s="6" t="s">
        <v>12</v>
      </c>
      <c r="C29" s="7"/>
      <c r="D29" s="7"/>
      <c r="E29" s="6">
        <v>2019</v>
      </c>
      <c r="G29" s="63"/>
      <c r="H29" s="51">
        <f>MAX(0,Invoer!C33)</f>
        <v>100000</v>
      </c>
    </row>
    <row r="30" spans="2:11">
      <c r="B30" s="4">
        <v>0</v>
      </c>
      <c r="C30" s="5">
        <v>200000</v>
      </c>
      <c r="D30" s="5"/>
      <c r="E30" s="2">
        <v>0.19</v>
      </c>
      <c r="G30" s="63"/>
      <c r="H30" s="46">
        <f>IF(H29&lt;C30,H29*E30,C30*E30)</f>
        <v>19000</v>
      </c>
    </row>
    <row r="31" spans="2:11">
      <c r="B31" s="4">
        <f>C30</f>
        <v>200000</v>
      </c>
      <c r="C31" s="4"/>
      <c r="D31" s="4"/>
      <c r="E31" s="2">
        <v>0.25</v>
      </c>
      <c r="G31" s="63"/>
      <c r="H31" s="51">
        <f>IF(H29&gt;B31,(H29-B31)*E31,0)</f>
        <v>0</v>
      </c>
    </row>
    <row r="32" spans="2:11">
      <c r="G32" s="63"/>
      <c r="H32" s="46">
        <f>H30+H31</f>
        <v>19000</v>
      </c>
    </row>
    <row r="33" spans="2:8">
      <c r="G33" s="63"/>
      <c r="H33" s="46"/>
    </row>
    <row r="34" spans="2:8">
      <c r="B34" s="6" t="s">
        <v>61</v>
      </c>
      <c r="C34" s="6"/>
      <c r="D34" s="6"/>
      <c r="E34" s="6">
        <v>2019</v>
      </c>
      <c r="G34" s="63"/>
      <c r="H34" s="46"/>
    </row>
    <row r="35" spans="2:8">
      <c r="B35" t="s">
        <v>62</v>
      </c>
      <c r="E35" s="4">
        <v>459688</v>
      </c>
      <c r="G35" s="63"/>
      <c r="H35" s="46"/>
    </row>
    <row r="36" spans="2:8">
      <c r="B36" t="s">
        <v>63</v>
      </c>
      <c r="E36" s="4">
        <v>229852</v>
      </c>
      <c r="G36" s="63"/>
      <c r="H36" s="46"/>
    </row>
    <row r="37" spans="2:8">
      <c r="B37" t="s">
        <v>15</v>
      </c>
      <c r="E37" s="4">
        <v>114932</v>
      </c>
      <c r="G37" s="63"/>
      <c r="H37" s="46"/>
    </row>
    <row r="38" spans="2:8">
      <c r="G38" s="63"/>
      <c r="H38" s="46"/>
    </row>
    <row r="39" spans="2:8">
      <c r="B39" s="6" t="s">
        <v>35</v>
      </c>
      <c r="C39" s="6"/>
      <c r="D39" s="6"/>
      <c r="E39" s="41">
        <v>2019</v>
      </c>
      <c r="G39" s="63"/>
      <c r="H39" s="46"/>
    </row>
    <row r="40" spans="2:8">
      <c r="B40" t="s">
        <v>36</v>
      </c>
      <c r="E40" s="4">
        <v>7280</v>
      </c>
      <c r="G40" s="63">
        <f>IF(Invoer!D22=BRONNEN!A5,MIN(Tarieven!E40,Invoer!C18+Invoer!C19-Invoer!C20),0)</f>
        <v>7280</v>
      </c>
      <c r="H40" s="46"/>
    </row>
    <row r="41" spans="2:8">
      <c r="B41" t="s">
        <v>78</v>
      </c>
      <c r="E41" s="4">
        <v>2123</v>
      </c>
      <c r="G41" s="63">
        <f>IF(Invoer!D22=BRONNEN!A7,Tarieven!E41+E40,0)</f>
        <v>0</v>
      </c>
      <c r="H41" s="46"/>
    </row>
    <row r="42" spans="2:8">
      <c r="G42" s="63"/>
      <c r="H42" s="46"/>
    </row>
    <row r="43" spans="2:8">
      <c r="B43" s="44" t="s">
        <v>37</v>
      </c>
      <c r="C43" s="8"/>
      <c r="D43" s="8"/>
      <c r="E43" s="74" t="s">
        <v>86</v>
      </c>
      <c r="G43" s="75">
        <v>0</v>
      </c>
      <c r="H43" s="46"/>
    </row>
    <row r="44" spans="2:8">
      <c r="B44">
        <v>525</v>
      </c>
      <c r="C44">
        <v>875</v>
      </c>
      <c r="E44" s="3">
        <v>1.2500000000000001E-2</v>
      </c>
      <c r="G44" s="63"/>
      <c r="H44" s="46"/>
    </row>
    <row r="45" spans="2:8">
      <c r="B45">
        <v>875</v>
      </c>
      <c r="C45">
        <v>1225</v>
      </c>
      <c r="E45" s="3">
        <v>0.02</v>
      </c>
      <c r="G45" s="63"/>
      <c r="H45" s="46"/>
    </row>
    <row r="46" spans="2:8">
      <c r="B46">
        <v>1225</v>
      </c>
      <c r="C46">
        <v>1750</v>
      </c>
      <c r="E46" s="3">
        <v>0.03</v>
      </c>
      <c r="G46" s="63"/>
      <c r="H46" s="46"/>
    </row>
    <row r="47" spans="2:8">
      <c r="B47">
        <v>1750</v>
      </c>
      <c r="E47" s="3">
        <v>0.04</v>
      </c>
      <c r="G47" s="63"/>
      <c r="H47" s="46"/>
    </row>
    <row r="48" spans="2:8">
      <c r="G48" s="63"/>
      <c r="H48" s="46"/>
    </row>
    <row r="49" spans="2:8">
      <c r="B49" s="44" t="s">
        <v>80</v>
      </c>
      <c r="C49" s="8"/>
      <c r="D49" s="8"/>
      <c r="E49" s="45"/>
      <c r="G49" s="63"/>
      <c r="H49" s="46"/>
    </row>
    <row r="50" spans="2:8">
      <c r="B50" t="s">
        <v>81</v>
      </c>
      <c r="E50" s="13">
        <v>12000</v>
      </c>
      <c r="G50" s="63">
        <f>IF(Invoer!$D$25=Tarieven!B50,Tarieven!E50,0)</f>
        <v>0</v>
      </c>
      <c r="H50" s="46"/>
    </row>
    <row r="51" spans="2:8">
      <c r="B51" t="s">
        <v>82</v>
      </c>
      <c r="E51" s="13">
        <v>8000</v>
      </c>
      <c r="G51" s="63">
        <f>IF(Invoer!$D$25=Tarieven!B51,Tarieven!E51,0)</f>
        <v>0</v>
      </c>
      <c r="H51" s="46"/>
    </row>
    <row r="52" spans="2:8">
      <c r="B52" t="s">
        <v>83</v>
      </c>
      <c r="E52" s="13">
        <v>4000</v>
      </c>
      <c r="G52" s="63">
        <f>IF(Invoer!$D$25=Tarieven!B52,Tarieven!E52,0)</f>
        <v>0</v>
      </c>
      <c r="H52" s="46"/>
    </row>
    <row r="53" spans="2:8">
      <c r="B53" t="s">
        <v>86</v>
      </c>
      <c r="G53" s="63"/>
      <c r="H53" s="46"/>
    </row>
    <row r="54" spans="2:8">
      <c r="G54" s="63"/>
      <c r="H54" s="46"/>
    </row>
    <row r="55" spans="2:8">
      <c r="B55" s="8" t="s">
        <v>84</v>
      </c>
      <c r="C55" s="8"/>
      <c r="D55" s="8"/>
      <c r="E55" s="8"/>
      <c r="G55" s="63"/>
      <c r="H55" s="46"/>
    </row>
    <row r="56" spans="2:8">
      <c r="B56" t="s">
        <v>85</v>
      </c>
      <c r="E56">
        <v>12775</v>
      </c>
      <c r="G56" s="63">
        <f>IF(Invoer!$D$23=Tarieven!B56,Tarieven!E56,0)</f>
        <v>0</v>
      </c>
      <c r="H56" s="46"/>
    </row>
    <row r="57" spans="2:8">
      <c r="B57" t="s">
        <v>78</v>
      </c>
      <c r="E57">
        <f>E56+6391</f>
        <v>19166</v>
      </c>
      <c r="G57" s="63">
        <f>IF(Invoer!$D$23=Tarieven!B57,Tarieven!E57,0)</f>
        <v>0</v>
      </c>
      <c r="H57" s="46"/>
    </row>
    <row r="58" spans="2:8">
      <c r="B58" t="s">
        <v>86</v>
      </c>
      <c r="E58">
        <v>0</v>
      </c>
      <c r="G58" s="63"/>
      <c r="H58" s="46"/>
    </row>
    <row r="59" spans="2:8">
      <c r="G59" s="63"/>
      <c r="H59" s="46"/>
    </row>
    <row r="60" spans="2:8">
      <c r="B60" t="s">
        <v>38</v>
      </c>
      <c r="E60" s="2">
        <v>0.14000000000000001</v>
      </c>
      <c r="G60" s="63">
        <f>Invoer!C26</f>
        <v>21380.800000000003</v>
      </c>
      <c r="H60" s="46"/>
    </row>
    <row r="63" spans="2:8">
      <c r="E63" s="3"/>
    </row>
  </sheetData>
  <sheetProtection algorithmName="SHA-512" hashValue="pqQMn7Z9eIy2qrWpIy/sJKkDpcnjDCu/JtiOlvJhtDzuqpic+yyzBLbu3O7kmd+McX0bKEOQfMHigsY2dHuZcg==" saltValue="W+3YTZCxlLmaXxl6mkoQNg==" spinCount="100000" sheet="1" objects="1" scenarios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Invoer</vt:lpstr>
      <vt:lpstr>BRONNEN</vt:lpstr>
      <vt:lpstr>Tarieven</vt:lpstr>
    </vt:vector>
  </TitlesOfParts>
  <Company>Wolters Kluwer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Hissink, Jelle</dc:creator>
  <cp:lastModifiedBy>Bakker, Karin</cp:lastModifiedBy>
  <dcterms:created xsi:type="dcterms:W3CDTF">2018-02-14T10:30:02Z</dcterms:created>
  <dcterms:modified xsi:type="dcterms:W3CDTF">2020-09-09T20:45:24Z</dcterms:modified>
</cp:coreProperties>
</file>